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55" windowWidth="12120" windowHeight="7935" tabRatio="852" activeTab="1"/>
  </bookViews>
  <sheets>
    <sheet name="รายรับ" sheetId="1" r:id="rId1"/>
    <sheet name="รายจ่าย" sheetId="2" r:id="rId2"/>
  </sheets>
  <definedNames/>
  <calcPr fullCalcOnLoad="1"/>
</workbook>
</file>

<file path=xl/sharedStrings.xml><?xml version="1.0" encoding="utf-8"?>
<sst xmlns="http://schemas.openxmlformats.org/spreadsheetml/2006/main" count="563" uniqueCount="292">
  <si>
    <t>รายการ</t>
  </si>
  <si>
    <t>ค่าตอบแทน</t>
  </si>
  <si>
    <t>ค่าใช้สอย</t>
  </si>
  <si>
    <t>ค่าวัสดุ</t>
  </si>
  <si>
    <t>ค่าสาธารณูปโภค</t>
  </si>
  <si>
    <t>ค่าที่ดินและสิ่งก่อสร้าง</t>
  </si>
  <si>
    <t>รหัสบัญชี</t>
  </si>
  <si>
    <t>ประมาณการ</t>
  </si>
  <si>
    <t>ยอดยกมา</t>
  </si>
  <si>
    <t>รายได้ที่รัฐบาลอุดหนุนให้องค์กรปกครองส่วนท้องถิ่น</t>
  </si>
  <si>
    <t>รายได้จากสาธารณูปโภคและการพาณิชย์</t>
  </si>
  <si>
    <t>รวมทั้งสิ้น</t>
  </si>
  <si>
    <t>คงเหลือ</t>
  </si>
  <si>
    <t>ประเภท</t>
  </si>
  <si>
    <t>รายได้จัดเก็บเอง</t>
  </si>
  <si>
    <t>1.  หมวดภาษีอากร</t>
  </si>
  <si>
    <t>ภาษีโรงเรือนและที่ดิน</t>
  </si>
  <si>
    <t>ภาษีบำรุงท้องที่</t>
  </si>
  <si>
    <t>ภาษีป้าย</t>
  </si>
  <si>
    <t>รวมหมวดภาษีอากร</t>
  </si>
  <si>
    <t>2.  หมวดค่าธรรมเนียม ค่าปรับ และใบอนุญาต</t>
  </si>
  <si>
    <t>ค่าธรรมเนียมเกี่ยวกับการควบคุมอาคาร</t>
  </si>
  <si>
    <t>ค่าธรรมเนียมเก็บขนขยะมูลฝอย</t>
  </si>
  <si>
    <t>ค่าธรรมเนียมเกี่ยวกับขุดดินถมดิน</t>
  </si>
  <si>
    <t>ค่าธรรมเนียมจดทะเบียนพาณิชย์</t>
  </si>
  <si>
    <t>ค่าปรับผู้กระทำผิดกฎหมายจราจรทางบก</t>
  </si>
  <si>
    <t>ค่าใบอนุญาติขายสุรา</t>
  </si>
  <si>
    <t>ค่าใบอนุญาตประกอบการค้าสำหรับกิจการที่เป็นอันตรายต่อสุขภาพ</t>
  </si>
  <si>
    <t>ค่าใบอนุญาตจัดตั้งสถานที่จำหน่ายอาหารหรือสถานที่สะสมอาหารฯ</t>
  </si>
  <si>
    <t>ค่าใบอนุญาตเกี่ยวกับกิจการประเภทที่ 3</t>
  </si>
  <si>
    <t>ค่าใบอนุญาตเกี่ยวกับการควบคุมอาคาร</t>
  </si>
  <si>
    <t>ค่าใบอนุญาตเกี่ยวกับการโฆษณาโดยใช้เครื่องขยายเสียง</t>
  </si>
  <si>
    <t>ค่าใบอนุญาตปิดประกาศ</t>
  </si>
  <si>
    <t>ค่าปรับงานก่อสร้าง</t>
  </si>
  <si>
    <t>รวมหมวดค่าธรรมเนียม ค่าปรับ และใบอนุญาต</t>
  </si>
  <si>
    <t>3.  หมวดรายได้จากทรัพย์สิน</t>
  </si>
  <si>
    <t>ดอกเบี้ยเงินฝากธนาคาร</t>
  </si>
  <si>
    <t>ดอกเบี้ยเงินฝาก (ก.ส.ท.)</t>
  </si>
  <si>
    <t>รวมหมวดรายได้จากทรัพย์สิน</t>
  </si>
  <si>
    <t>4.  หมวดรายได้จากสาธารณูปโภคและการพาณิชย์</t>
  </si>
  <si>
    <t>รวมหมวดรายได้จากสาธารณูปโภคและการพาณิชย์</t>
  </si>
  <si>
    <t>5.  หมวดรายได้เบ็ดเตล็ด</t>
  </si>
  <si>
    <t>ค่าขายแบบแปลน</t>
  </si>
  <si>
    <t>รายได้เบ็ดเตล็ดอื่นๆ</t>
  </si>
  <si>
    <t>รวมหมวดรายได้เบ็ดเตล็ด</t>
  </si>
  <si>
    <t>รวมหมวดรายได้จัดเก็บเอง 1+2+3+4+5</t>
  </si>
  <si>
    <t>รายได้ที่รัฐบาลเก็บแล้วจัดสรรให้ อปท.</t>
  </si>
  <si>
    <t>6.  หมวดภาษีจัดสรร</t>
  </si>
  <si>
    <t>ภาษีและค่าธรรมเนียมรถยนต์และล้อเลื่อน</t>
  </si>
  <si>
    <t>ภาษีมูลค่าเพิ่มตาม พ.ร.บ. กำหนดแผนฯ</t>
  </si>
  <si>
    <t>ภาษีมูลค่าเพิ่มตาม พ.ร.บ.จัดสรรรายได้ฯ</t>
  </si>
  <si>
    <t>ภาษีธุรกิจเฉพาะ</t>
  </si>
  <si>
    <t>ภาษีสุรา</t>
  </si>
  <si>
    <t>ภาษีสรรพสามิต</t>
  </si>
  <si>
    <t>ค่าภาคหลวงแร่</t>
  </si>
  <si>
    <t>ค่าภาคหลวงปิโตรเลียม</t>
  </si>
  <si>
    <t>ค่าธรรมเนียมจดทะเบียนสิทธิและนิติกรรมตามประมวลกฎหมายที่ดิน</t>
  </si>
  <si>
    <t>รวมหมวดภาษีจัดสรร</t>
  </si>
  <si>
    <t>7.  หมวดเงินอุดหนุนทั่วไป</t>
  </si>
  <si>
    <t>เงินอุดหนุนทั่วไป สำหรับดำเนินการตามอำนาจหน้าที่และภารกิจถ่ายโอนเลือกทำ</t>
  </si>
  <si>
    <t>เงินอุดหนุนทั่วไป-สนับสนุนอาหารเสริม(นม)</t>
  </si>
  <si>
    <t>เงินอุดหนุนทั่วไป-สนับสนุนอาหารกลางวัน</t>
  </si>
  <si>
    <t>เงินอุดหนุนทั่วไป-สนับสนุนการบริการสาธารณสุข</t>
  </si>
  <si>
    <t>เงินอุดหนุนทั่วไป-เบี้ยยังชีพผู้ป่วยเอดส์</t>
  </si>
  <si>
    <t>รวมหมวดเงินอุดหนุนทั่วไป</t>
  </si>
  <si>
    <t>รายได้ที่รัฐบาลอุดหนุนโดยระบุวัตถุประสงค์</t>
  </si>
  <si>
    <t>เงินอุดหนุนทั่วไป-ค่าจัดการเรียนการสอน</t>
  </si>
  <si>
    <t>เงินอุดหนุนทั่วไป-เบี้ยยังชีพผู้สูงอายุ</t>
  </si>
  <si>
    <t>8.  เงินอุดหนุนทั่วไป ระบุวัตถุประสงค์/เฉพาะกิจ</t>
  </si>
  <si>
    <t>รวมเงินอุดหนุนทั่วไป ระบุวัตถุประสงค์/เฉพาะกิจ</t>
  </si>
  <si>
    <t>เงินอุดหนุนทั่วไป-เงินเดือนครู(ศพด.)</t>
  </si>
  <si>
    <t>เงินอุดหนุนทั่วไป-เบี้ยยังชีพผู้พิการ</t>
  </si>
  <si>
    <t>รายงานผลการดำเนินการ</t>
  </si>
  <si>
    <t>เทศบาลตำบลบางเก่า   อำเภอชะอำ  จังหวัดเพชรบุรี</t>
  </si>
  <si>
    <t>รายรับจริง</t>
  </si>
  <si>
    <t>-</t>
  </si>
  <si>
    <t xml:space="preserve">เงินเดือนนายก/รองนายก  </t>
  </si>
  <si>
    <t xml:space="preserve">เงินค่าตอบแทนประจำตำแหน่ง </t>
  </si>
  <si>
    <t xml:space="preserve">ค่าตอบแทนเลขานุการ/เลขานุการ    </t>
  </si>
  <si>
    <t xml:space="preserve">เงินเดือนพนักงานเทศบาล </t>
  </si>
  <si>
    <t>เงินประจำตำแหน่ง</t>
  </si>
  <si>
    <t>ค่าจ้างลูกจ้างประจำ</t>
  </si>
  <si>
    <t xml:space="preserve">ค่าจ้างพนักงานจ้าง </t>
  </si>
  <si>
    <t xml:space="preserve">เงินเพิ่มต่าง ๆ </t>
  </si>
  <si>
    <t xml:space="preserve">เงินอื่น ๆ (ค่าตอบแทนรายเดือน)  </t>
  </si>
  <si>
    <t xml:space="preserve">ค่าตอบแทนผู้ปฏิบัติราชการอันเป็นประโยชน์แก่เทศบาลตำบลบางเก่า </t>
  </si>
  <si>
    <t xml:space="preserve">เงินรางวัลประโยชน์ตอบแทนอื่นสำหรับพนักงานส่วนท้องถิ่น </t>
  </si>
  <si>
    <t xml:space="preserve">เงินช่วยเหลือการศึกษาบุตร </t>
  </si>
  <si>
    <t>รายจ่ายเพื่อให้ได้มาซึ่งบริการ (ค่าจ้างเหมาบริการ)</t>
  </si>
  <si>
    <t xml:space="preserve">รายจ่ายเกี่ยวกับการรับรองและพิธีการ  </t>
  </si>
  <si>
    <t xml:space="preserve">ค่าเลี้ยงรับรอง  </t>
  </si>
  <si>
    <t xml:space="preserve">ค่าเช่าที่ดิน  </t>
  </si>
  <si>
    <t xml:space="preserve">ค่าเดินทางไปราชการ  </t>
  </si>
  <si>
    <t xml:space="preserve">ค่าธรรมเนียม/ค่าลงทะเบียน  </t>
  </si>
  <si>
    <t xml:space="preserve">โครงการจัดทำแผนพัฒนาท้องถิ่น </t>
  </si>
  <si>
    <t xml:space="preserve">โครงการจัดทำเอกสารประชาสัมพันธ์ </t>
  </si>
  <si>
    <t xml:space="preserve">โครงการจ้างเหมาต่อสัญญา website </t>
  </si>
  <si>
    <t>โครงการฝึกอบรมคุณธรรมและจริยธรรมสำหรับผู้บริหาร</t>
  </si>
  <si>
    <t>โครงการพัฒนาและปรับปรุงสถานที่ทำงานน่อยู่และน่าทำงาน</t>
  </si>
  <si>
    <t xml:space="preserve">ค่าบำรุงรักษาและซ่อมแซมวัสดุต่าง ๆ  </t>
  </si>
  <si>
    <t>ค่าซ่อมแซมบำรุงรักษายานพาหนะ</t>
  </si>
  <si>
    <t xml:space="preserve">วัสดุสำนักงาน </t>
  </si>
  <si>
    <t>วัสดุไฟฟ้าและวิทยุ</t>
  </si>
  <si>
    <t xml:space="preserve">วัสดุยานพาหนะและขนส่ง   </t>
  </si>
  <si>
    <t xml:space="preserve">วัสดุคอมพิวเตอร์ </t>
  </si>
  <si>
    <t xml:space="preserve">ค่าไฟฟ้า  </t>
  </si>
  <si>
    <t xml:space="preserve">ค่าน้ำประปา </t>
  </si>
  <si>
    <t xml:space="preserve">ค่าไปรษณีย์ </t>
  </si>
  <si>
    <t xml:space="preserve">ค่าบริการสื่อสารและโทรคมนาคม </t>
  </si>
  <si>
    <t>งบลงทุน</t>
  </si>
  <si>
    <t>ครุภัณฑ์เคอมพิวเตอร์</t>
  </si>
  <si>
    <t xml:space="preserve">ค่าบำรุงรักษาและปรับปรุงครุภัณฑ์  </t>
  </si>
  <si>
    <t>งบรายจ่ายอื่น</t>
  </si>
  <si>
    <t xml:space="preserve">ค่าจ้างที่ปรึกษา  </t>
  </si>
  <si>
    <t xml:space="preserve">เงินประจำตำแหน่ง </t>
  </si>
  <si>
    <t xml:space="preserve">เงินเพิ่มต่าง ๆ   </t>
  </si>
  <si>
    <t xml:space="preserve">เงินช่วยเหลือการศึกษาบุตร   </t>
  </si>
  <si>
    <t xml:space="preserve">ค่าจ้างเหมาบริการ </t>
  </si>
  <si>
    <t xml:space="preserve">ค่าใช้จ่ายในการเดินทางไปราชการ </t>
  </si>
  <si>
    <t xml:space="preserve">โครงการเพิ่มประสิทธิภาพการจัดเก็บภาษี  </t>
  </si>
  <si>
    <t xml:space="preserve">ค่าบำรุงรักษาและซ่อมแซม </t>
  </si>
  <si>
    <t xml:space="preserve">วัสดุโฆษณาและเผยแพร่  </t>
  </si>
  <si>
    <t xml:space="preserve">วัสดุคอมพิวเตอร์  </t>
  </si>
  <si>
    <t xml:space="preserve">ค่าสาธารณูปโภค </t>
  </si>
  <si>
    <t>แผนงานการรักษาความสงบภายใน</t>
  </si>
  <si>
    <t>โครงการจัดทำป้าย</t>
  </si>
  <si>
    <t>โครงการฝึกอบรมอาสาสมัครป้องกันภัยฝ่ายพลเรือน ปี 60</t>
  </si>
  <si>
    <t xml:space="preserve">โครงการอบรมเชิงปฏิบัติการเกี่ยวกับการรับงับอัคคีภัยเบื้องต้น </t>
  </si>
  <si>
    <t>วัสดุเครื่องแต่งกาย</t>
  </si>
  <si>
    <t xml:space="preserve">โคงการอาหารกลางวันสำหรับเด็กของศูนย์   </t>
  </si>
  <si>
    <t>ค่าจัดการเรียนการสอน(รายหัว)</t>
  </si>
  <si>
    <t xml:space="preserve">วัสดุงานบ้านงานครัว   </t>
  </si>
  <si>
    <t xml:space="preserve">ค่าอาหารเสริม (นม)  </t>
  </si>
  <si>
    <t xml:space="preserve">วัสดุการศึกษา  </t>
  </si>
  <si>
    <t xml:space="preserve">ค่าวัสดุอื่น </t>
  </si>
  <si>
    <t>งบเงินอุดหนุน</t>
  </si>
  <si>
    <t xml:space="preserve">โรงเรียนบ้านบางเก่า  </t>
  </si>
  <si>
    <t xml:space="preserve">โรงเรียนวัดโตนดหลวง  </t>
  </si>
  <si>
    <t xml:space="preserve">โครงการจัดซื้อหนังสือพิมพ์    </t>
  </si>
  <si>
    <t xml:space="preserve">เงินค่าเช่าบ้าน  </t>
  </si>
  <si>
    <t xml:space="preserve">ค่าวัสดุ </t>
  </si>
  <si>
    <t xml:space="preserve">ค่าใช้สอย </t>
  </si>
  <si>
    <t xml:space="preserve">โครงการกีฬาหมู่บ้านต้านยาเสพติด </t>
  </si>
  <si>
    <t xml:space="preserve">โครงการรณรงค์ฉีดวัคซีนป้องกันโรคพิษสุนัขบ้าแก่สุนัขและแมวและบริการทำหมันสุนัขและแมว  </t>
  </si>
  <si>
    <t>โครงการส่งเสริมสุขภาพเด็กปฐมวัย</t>
  </si>
  <si>
    <t xml:space="preserve">โครงการชะอำรวมใจเสริมสร้างพลังแผ่นดินเอาชนะยาเสพติด </t>
  </si>
  <si>
    <t>โครงการป้องกันสนับสนุนและแก้ไขปัญหายาเสพติด</t>
  </si>
  <si>
    <t>โครงการจัดกิจกรรมวันต่อต้านยาเสพติด</t>
  </si>
  <si>
    <t xml:space="preserve">โครงการสนับสนุนการดำเนินงานสาธารณสุขมูลฐาน  </t>
  </si>
  <si>
    <t>โครงการจัดกิจกรรมนันทนาการผู้สูงอายุ</t>
  </si>
  <si>
    <t xml:space="preserve">เงินเดือนพนักงานเทศบาล  </t>
  </si>
  <si>
    <t xml:space="preserve">ค่าจ้างลูกจ้างประจำ </t>
  </si>
  <si>
    <t xml:space="preserve">เงินเพิ่มต่างๆของพนักงานจ้าง </t>
  </si>
  <si>
    <t>เงินช่วยเหลือการศึกษาบุตร</t>
  </si>
  <si>
    <t xml:space="preserve">ค่าใช้สอย   </t>
  </si>
  <si>
    <t xml:space="preserve">วัสดุก่อสร้าง   </t>
  </si>
  <si>
    <t>วัสดุโฆษณาและเผยแพร่</t>
  </si>
  <si>
    <t xml:space="preserve">งบลงทุน </t>
  </si>
  <si>
    <t xml:space="preserve">ค่าที่ดินและสิ่งก่อสร้าง </t>
  </si>
  <si>
    <t>ค่าบำรุงรักษาและปรับปรุงที่ดินและสิ่งก่อสร้าง</t>
  </si>
  <si>
    <t xml:space="preserve">วัสดุเชื้อเพลิงและหล่อลื่น  </t>
  </si>
  <si>
    <t xml:space="preserve">โครงการเทศบาลตำบลบางเก่าเคลื่อนที่ </t>
  </si>
  <si>
    <t>โครงการอบรมและส่งเสริมอาชีพ ประจำปี 2560</t>
  </si>
  <si>
    <t xml:space="preserve">โครงการอุดหนุนกลุ่มอาชีพ </t>
  </si>
  <si>
    <t xml:space="preserve">โครงการกีฬาสัมพันธ์   </t>
  </si>
  <si>
    <t xml:space="preserve">ค่าวัสดุกีฬา </t>
  </si>
  <si>
    <t xml:space="preserve">โครงการวันเข้าพรรษา     </t>
  </si>
  <si>
    <t xml:space="preserve">โครงการเนื่องในวันเฉลิมพระชนมพรรษาสมเด็จพระนางเจ้าสิริกิติ์  </t>
  </si>
  <si>
    <t>โครงการส่งเสริมเด็กและเยาวชนใส่ใจดนตรีไทย</t>
  </si>
  <si>
    <t>โครงการอนุรักษ์และฟื้นฟูการเล่นเพลงโนเน</t>
  </si>
  <si>
    <t xml:space="preserve">โครงการอบรมคุณธรรม-จริยธรรม  พุทธบุตร   </t>
  </si>
  <si>
    <t xml:space="preserve">งบเงินอุดหนุน   </t>
  </si>
  <si>
    <t>โครงการจัดกิจกรรมงานรัฐพิธีและวันสำคัญต่าง ๆ ประจำปี 2560</t>
  </si>
  <si>
    <t xml:space="preserve">ค่าใช้สอย  </t>
  </si>
  <si>
    <t xml:space="preserve">โครงการจัดทำเอกสารแนะนำแหล่งท่องเที่ยว  </t>
  </si>
  <si>
    <r>
      <t xml:space="preserve">โครงการบริหารจัดการศูนย์บริการและถ่ายทอดเทคโนโลยี  การเกษตร  </t>
    </r>
  </si>
  <si>
    <t xml:space="preserve">โครงการอนุรักษ์ทรัพยากรธรรมชาติและสิ่งแวดล้อม   </t>
  </si>
  <si>
    <t xml:space="preserve">เงินสบทบกองทุนประกันสังคม   </t>
  </si>
  <si>
    <t xml:space="preserve">โครงการสงเคราะห์เบี้ยยังชีพผู้สูงอายุ </t>
  </si>
  <si>
    <t>โครงการเบี้ยยังชีพคนพิการ</t>
  </si>
  <si>
    <t>โครงการเบี้ยยังชีพผู้ป่วยเอดส์</t>
  </si>
  <si>
    <t xml:space="preserve">เงินสำรองจ่าย  </t>
  </si>
  <si>
    <t xml:space="preserve">โครงการอุดหนุนกองทุนสวัสดิการชุมชนตำบลบางเก่า  </t>
  </si>
  <si>
    <t xml:space="preserve">เงินสมทบเงินทุนส่งเสริมกิจการเทศบาล   </t>
  </si>
  <si>
    <t xml:space="preserve">โครงการกองทุนสุขภาพระดับท้องถิ่นตำบลบางเก่า </t>
  </si>
  <si>
    <t xml:space="preserve">เงินช่วยพิเศษ  (ค่าทำศพ)  </t>
  </si>
  <si>
    <t xml:space="preserve">เงินสมทบกองทุนบำเหน็จบำนาญข้าราชการส่วนท้องถิ่น  (กบท.)   </t>
  </si>
  <si>
    <t>จ่ายจริง</t>
  </si>
  <si>
    <t>รวมเงินเดือน  (ฝ่ายการเมือง)</t>
  </si>
  <si>
    <t>รวมเงินเดือน  (ฝ่ายประจำ)</t>
  </si>
  <si>
    <t xml:space="preserve">ค่าตอบแทนสมาชิก </t>
  </si>
  <si>
    <t>รวมค่าตอบแทน</t>
  </si>
  <si>
    <t>รวมค่าใช้สอย</t>
  </si>
  <si>
    <t>รวมค่าวัสดุ</t>
  </si>
  <si>
    <t>รวมค่าสาธารณูปโภค</t>
  </si>
  <si>
    <t>รวมงบลงทุน</t>
  </si>
  <si>
    <t>รวมค่าที่ดินและสิ่งก่อสร้าง</t>
  </si>
  <si>
    <t>รายงานผลการดำเนินการ  แผนงานบริหารงานทั่วไป  งานบริหารทั่วไป</t>
  </si>
  <si>
    <t>รวมงบรายจ่ายอื่น</t>
  </si>
  <si>
    <t>รวมเงินเดือน(ฝ่ายประจำ)</t>
  </si>
  <si>
    <t>รายงานผลการดำเนินการ  แผนงานบริหารงานทั่วไป  งานป้องกันภัยฝ่ายพลเรือนและระงับอัคคีภัย</t>
  </si>
  <si>
    <t>รายงานผลการดำเนินการ  แผนงานการศึกษา  งานระดับก่อนวัยเรียนและประถมศึกษา</t>
  </si>
  <si>
    <t>รวมงบเงินอุดหนุน</t>
  </si>
  <si>
    <t>รายงานผลการดำเนินการ  แผนงานการศึกษา  งานศึกษาไม่กำหนดระดับ</t>
  </si>
  <si>
    <t>รายงานผลการดำเนินการ  แผนงานสาธารณสุข  งานบริหารทั่วไปเกี่ยวกับสาธารณสุข</t>
  </si>
  <si>
    <t>รวมเงินเดือน (ฝ่ายประจำ)</t>
  </si>
  <si>
    <t>รายงานผลการดำเนินการ  แผนงานสาธารณสุข  งานบริการสาธารณสุขและงานสาธารณสุขอื่น</t>
  </si>
  <si>
    <t>รวมเงินอุดหนุน</t>
  </si>
  <si>
    <t>รายงานผลการดำเนินการ  แผนงานสังคมสงเคราะห์  งานสวัสดิการสังคมและสังคมสงเคราะห์</t>
  </si>
  <si>
    <t>รายงานผลการดำเนินการ  แผนงานเคหะและชุมชน  งานบริหารทั่วไปเกี่ยวกับเคหะและชุมชน</t>
  </si>
  <si>
    <t>รวมเงินลงทุน</t>
  </si>
  <si>
    <t>รายงานผลการดำเนินการ  แผนงานเคหะและชุมชน  งานไฟฟ้าถนน</t>
  </si>
  <si>
    <t>รายงานผลการดำเนินการ  แผนงานเคหะและชุมชน  งานกำจัดขยะมูลฝอยและสิ่งปฏิกูล</t>
  </si>
  <si>
    <t>รายงานผลการดำเนินการ  แผนงานสร้างความเข้มแข็งของชุมชน  งานส่งเสริมและสนับสนุนความเข้มแข็งชุมชน</t>
  </si>
  <si>
    <t>รายงานผลการดำเนินการ  แผนงานการศาสนาวัฒนธรรมและนันทนาการ  งานกีฬาและนันทนาการ</t>
  </si>
  <si>
    <t>รายงานผลการดำเนินการ  แผนงานการศาสนาวัฒนธรรมและนันทนาการ  งานศาสนาวัฒนธรรมท้องถิ่น</t>
  </si>
  <si>
    <t>รายงานผลการดำเนินการ  แผนงานงบกลาง</t>
  </si>
  <si>
    <t>รายงานผลการดำเนินการ  แผนงานการพาณิชย์  งานกิจการประปา</t>
  </si>
  <si>
    <t>รายงานผลการดำเนินการ  แผนงานการศาสนาวัฒนธรรมและนันทนาการ  งานวิชาการวางแผนและส่งเสริมการท่องเที่ยว</t>
  </si>
  <si>
    <t>รายงานผลการดำเนินการ  แผนงานการเกษตร  งานส่งเสริมการเกษตร</t>
  </si>
  <si>
    <t>รายงานผลการดำเนินการ  แผนงานการเกษตร  งานอนุรักษ์แหล่งน้ำและป่าไม้</t>
  </si>
  <si>
    <t>รวมงบกลาง</t>
  </si>
  <si>
    <t>ไตรมาส  3</t>
  </si>
  <si>
    <t xml:space="preserve">                                         ตั้งแต่วันที่  1  เมษายน -  30  มิถุนายน 2561                           ไตรมาส 3</t>
  </si>
  <si>
    <t>เงินโครงการพระราชดำริ (ด้านงานสาธารณสุข)</t>
  </si>
  <si>
    <t>เงินโครงการสัตว์ปลอดโรคคนปลอดภัย</t>
  </si>
  <si>
    <t>โครงการอบรมพัฒนาศักยภาพและศึกษาดูงาน ปี 61</t>
  </si>
  <si>
    <t>ครุภัณฑ์สำนักงาน</t>
  </si>
  <si>
    <t>เก้าอี้ทำงานหลังสูง</t>
  </si>
  <si>
    <t>เก้าอี้นั่งทำงาน</t>
  </si>
  <si>
    <t>เก้าอี้สำหรับผู้รับบริการ  4  ที่นั้งพร้อมที่วางของ</t>
  </si>
  <si>
    <t>เก้าอี้ห้องประชุมสภา</t>
  </si>
  <si>
    <t>ชุดรับแขก</t>
  </si>
  <si>
    <t>ตู้เหล็ก  2  บาน</t>
  </si>
  <si>
    <t>โต๊ะทำงานพร้อมเก้าอี้</t>
  </si>
  <si>
    <t>โต๊ะทำงานเหล็กมีกระจกขนาด  5  ฟุต</t>
  </si>
  <si>
    <t>โต๊ะประชุมชุดเล็ก  ขนาด  6  ที่นั่ง</t>
  </si>
  <si>
    <t>โต๊ะประชมสภาชุดใหญ่</t>
  </si>
  <si>
    <t>ครุภัณฑ์ยานพาหนะและขนส่ง</t>
  </si>
  <si>
    <t>ครุภัณฑ์งานบ้านงานครัว  (เครื่องทำน้ำเย็น)</t>
  </si>
  <si>
    <t>ตู้เย็น ขนาด  7  คิวบิกฟุต</t>
  </si>
  <si>
    <t>เครื่องพิมพ์ชนิดเลเซอร์/ชนิด LFD</t>
  </si>
  <si>
    <t>เครื่องสำรองไฟ</t>
  </si>
  <si>
    <t>รายงานผลการดำเนินการ  แผนงานบริหารงานทั่วไป  งานบริหารการคลัง</t>
  </si>
  <si>
    <t>โต๊ะทำงานพร้อมเก้าอี้  จำนวน  4  ชุด</t>
  </si>
  <si>
    <t>ครุภัณฑ์คอมพิวเตอร์</t>
  </si>
  <si>
    <t>เครื่องพิมพ์ชนิดเลเซอร์</t>
  </si>
  <si>
    <t>งบลงทุน  (ครุภัณฑ์)</t>
  </si>
  <si>
    <t>ครุภัณฑ์ไฟฟ้าและวิทยุ</t>
  </si>
  <si>
    <t>โครงการจัดงานวันเด็กแห่งชาติ    ปี 61</t>
  </si>
  <si>
    <t>ค่าครุภัณฑ์สำนักงาน</t>
  </si>
  <si>
    <t>เครื่องถ่ายเอกสาร</t>
  </si>
  <si>
    <t>โครงการก่อสร้างสิ่งสาธารณูปโภค</t>
  </si>
  <si>
    <t>โครงการก่อสร้างถนนคอนกรีตเสริมเหล็ก  หมู่  7 (บ้านนายเพียร)</t>
  </si>
  <si>
    <t>โครงการก่อสร้างถนนคอนกรีตเสริมเหล็ก  หมู่  9</t>
  </si>
  <si>
    <t>ขยายไฟฟ้าภายในบริเวณสำนักงานเทศบาลตำบลบางเก่า</t>
  </si>
  <si>
    <t>โครงการก่อสร้างถนนคอนกรีตเสริมเหล็ก  หมู่  2  บ้านบางเก่า</t>
  </si>
  <si>
    <t>โครงการก่อสร้างถนนคอนกรีตเสริมเหล็ก  หมู่  3</t>
  </si>
  <si>
    <t>โครงการก่อสร้างถนนคอนกรีตเสริมเหล็ก  หมู่  4  (สายชายคลอง)</t>
  </si>
  <si>
    <t>โครงการก่สอร้างถนนคอนกรีตเสริมเหล็ก  หมู่  4  (สายบ้าน    นางเขียว)</t>
  </si>
  <si>
    <t>โครงการก่อสร้างถนนคอนกรีตเสริมเหล็ก  หมู่  7  (สายบ้านนางประไพ  สุขประเสริฐ)</t>
  </si>
  <si>
    <t>โครงการก่อสร้างถนนคอนกรีตเสริมเหล็ก  หมู่  7  (สายบ้าน             นายธีระ)</t>
  </si>
  <si>
    <t>โครงการขุดลอกคลองบ้านบางเก่า  หมู่  1- 2</t>
  </si>
  <si>
    <t>โครงการขุดลอกคลองบ้านปากคลอง  หมู่  5</t>
  </si>
  <si>
    <t>โครงการปรับปรุงผิวจราจรแบบแอสฟัลท์ติกคอนกรีต  หมู่ 7  (สายทางเข้าโรงแรมยูเรเซีย)</t>
  </si>
  <si>
    <t>โครงการปรับปรุงผิวจราจรแบบแอสฟัลท์ติกคอนกรีต  หมู่ 7  (สายหน้าศาลากลางบ้าน)</t>
  </si>
  <si>
    <t>อุดหนุนส่วนราชการ</t>
  </si>
  <si>
    <t>รวมเงินอุดหนุนส่วนราชการ</t>
  </si>
  <si>
    <t>โครงการลดโลกร้อนด้วยมือเรา</t>
  </si>
  <si>
    <t xml:space="preserve">โครงการแข่งขันกีฬาตำบลปี 2561  </t>
  </si>
  <si>
    <t>โครงการจัดงานประเพณีวันสงกรานต์ ปี 2561</t>
  </si>
  <si>
    <t>โครงการเทิดทูนสถาบันพระมหากษัตริย์</t>
  </si>
  <si>
    <t>โครงการเนื่องในวันพ่อ</t>
  </si>
  <si>
    <t>โครงการงานพระนครคีรี เมืองเพชร ปี 2561</t>
  </si>
  <si>
    <t xml:space="preserve">                             ตั้งแต่วันที่  1  เมษายน - 30   มิถุนายน พ.ศ. 2561              </t>
  </si>
  <si>
    <t>ยอดรวมงบประมาณรายจ่ายทั้งสิ้น</t>
  </si>
  <si>
    <r>
      <t xml:space="preserve">เงินค่าตอบแทนพิเศษนายก/รองนายก </t>
    </r>
    <r>
      <rPr>
        <sz val="18"/>
        <color indexed="8"/>
        <rFont val="TH SarabunPSK"/>
        <family val="2"/>
      </rPr>
      <t xml:space="preserve"> </t>
    </r>
  </si>
  <si>
    <r>
      <t xml:space="preserve">ค่าตอบแทนการปฏิบัตินอกเวลาราชการ </t>
    </r>
    <r>
      <rPr>
        <sz val="18"/>
        <color indexed="8"/>
        <rFont val="TH SarabunPSK"/>
        <family val="2"/>
      </rPr>
      <t xml:space="preserve"> </t>
    </r>
  </si>
  <si>
    <r>
      <t xml:space="preserve">วัสดุงานบ้านงานครัว  </t>
    </r>
    <r>
      <rPr>
        <sz val="18"/>
        <color indexed="8"/>
        <rFont val="TH SarabunPSK"/>
        <family val="2"/>
      </rPr>
      <t xml:space="preserve">  </t>
    </r>
  </si>
  <si>
    <r>
      <t>วัสดุเชื้อเพลิงและหล่อลื่น</t>
    </r>
    <r>
      <rPr>
        <sz val="18"/>
        <color indexed="8"/>
        <rFont val="TH SarabunPSK"/>
        <family val="2"/>
      </rPr>
      <t xml:space="preserve">  </t>
    </r>
  </si>
  <si>
    <r>
      <t>ค่าโทรศัพท์</t>
    </r>
    <r>
      <rPr>
        <sz val="18"/>
        <color indexed="8"/>
        <rFont val="TH SarabunPSK"/>
        <family val="2"/>
      </rPr>
      <t xml:space="preserve"> </t>
    </r>
  </si>
  <si>
    <r>
      <t xml:space="preserve">เงินเดือนพนักงานเทศบาล </t>
    </r>
    <r>
      <rPr>
        <sz val="18"/>
        <color indexed="8"/>
        <rFont val="TH SarabunPSK"/>
        <family val="2"/>
      </rPr>
      <t xml:space="preserve"> </t>
    </r>
  </si>
  <si>
    <r>
      <t xml:space="preserve">วัสดุสำนักงาน </t>
    </r>
    <r>
      <rPr>
        <sz val="18"/>
        <color indexed="8"/>
        <rFont val="TH SarabunPSK"/>
        <family val="2"/>
      </rPr>
      <t xml:space="preserve">  </t>
    </r>
  </si>
  <si>
    <r>
      <t xml:space="preserve">ค่าไปรษณีย์  </t>
    </r>
    <r>
      <rPr>
        <sz val="18"/>
        <color indexed="8"/>
        <rFont val="TH SarabunPSK"/>
        <family val="2"/>
      </rPr>
      <t xml:space="preserve"> </t>
    </r>
  </si>
  <si>
    <r>
      <t>โรงเรียนบ้านบางเกตุ</t>
    </r>
    <r>
      <rPr>
        <sz val="18"/>
        <color indexed="8"/>
        <rFont val="TH SarabunPSK"/>
        <family val="2"/>
      </rPr>
      <t xml:space="preserve"> </t>
    </r>
  </si>
  <si>
    <r>
      <t xml:space="preserve">เงินเดือนพนักงานเทศบาล </t>
    </r>
    <r>
      <rPr>
        <sz val="18"/>
        <color indexed="8"/>
        <rFont val="TH SarabunPSK"/>
        <family val="2"/>
      </rPr>
      <t xml:space="preserve">  </t>
    </r>
  </si>
  <si>
    <r>
      <t xml:space="preserve">ค่าจ้างพนักงานจ้าง </t>
    </r>
    <r>
      <rPr>
        <sz val="18"/>
        <color indexed="8"/>
        <rFont val="TH SarabunPSK"/>
        <family val="2"/>
      </rPr>
      <t xml:space="preserve"> </t>
    </r>
  </si>
  <si>
    <r>
      <t xml:space="preserve">ค่าไฟฟ้า </t>
    </r>
    <r>
      <rPr>
        <b/>
        <sz val="16"/>
        <color indexed="8"/>
        <rFont val="TH SarabunPSK"/>
        <family val="2"/>
      </rPr>
      <t xml:space="preserve"> </t>
    </r>
  </si>
  <si>
    <t>ยกยกมา</t>
  </si>
  <si>
    <t>ยกยอดมา</t>
  </si>
  <si>
    <t>ค่าวัสดุสำนักงาน</t>
  </si>
  <si>
    <t>รวมเงินครุภัณฑ์สำนักงาน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</si>
</sst>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00_-;\-* #,##0.000_-;_-* &quot;-&quot;??_-;_-@_-"/>
    <numFmt numFmtId="200" formatCode="_-* #,##0.0_-;\-* #,##0.0_-;_-* &quot;-&quot;??_-;_-@_-"/>
    <numFmt numFmtId="201" formatCode="_-* #,##0.0000_-;\-* #,##0.0000_-;_-* &quot;-&quot;??_-;_-@_-"/>
    <numFmt numFmtId="202" formatCode="_-* #,##0.00000_-;\-* #,##0.00000_-;_-* &quot;-&quot;??_-;_-@_-"/>
    <numFmt numFmtId="203" formatCode="mmm\-yyyy"/>
    <numFmt numFmtId="204" formatCode="0.0"/>
    <numFmt numFmtId="205" formatCode="_(* #,##0_);_(* \(#,##0\);_(* &quot;-&quot;??_);_(@_)"/>
    <numFmt numFmtId="206" formatCode="#,##0.00_ ;\-#,##0.00\ "/>
    <numFmt numFmtId="207" formatCode="#,##0;[Red]#,##0"/>
    <numFmt numFmtId="208" formatCode="&quot;ใช่&quot;;&quot;ใช่&quot;;&quot;ไม่ใช่&quot;"/>
    <numFmt numFmtId="209" formatCode="&quot;จริง&quot;;&quot;จริง&quot;;&quot;เท็จ&quot;"/>
    <numFmt numFmtId="210" formatCode="&quot;เปิด&quot;;&quot;เปิด&quot;;&quot;ปิด&quot;"/>
    <numFmt numFmtId="211" formatCode="[$€-2]\ #,##0.00_);[Red]\([$€-2]\ #,##0.00\)"/>
  </numFmts>
  <fonts count="6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color indexed="8"/>
      <name val="Angsana New"/>
      <family val="1"/>
    </font>
    <font>
      <b/>
      <sz val="16"/>
      <color indexed="8"/>
      <name val="TH SarabunPSK"/>
      <family val="2"/>
    </font>
    <font>
      <b/>
      <sz val="20"/>
      <name val="TH SarabunPSK"/>
      <family val="2"/>
    </font>
    <font>
      <sz val="16"/>
      <name val="TH SarabunPSK"/>
      <family val="2"/>
    </font>
    <font>
      <sz val="10"/>
      <name val="TH SarabunPSK"/>
      <family val="2"/>
    </font>
    <font>
      <sz val="18"/>
      <color indexed="8"/>
      <name val="TH SarabunPSK"/>
      <family val="2"/>
    </font>
    <font>
      <b/>
      <sz val="16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3"/>
      <color indexed="8"/>
      <name val="TH SarabunPSK"/>
      <family val="2"/>
    </font>
    <font>
      <sz val="13"/>
      <color indexed="8"/>
      <name val="TH SarabunPSK"/>
      <family val="2"/>
    </font>
    <font>
      <sz val="16"/>
      <color indexed="8"/>
      <name val="TH SarabunPSK"/>
      <family val="2"/>
    </font>
    <font>
      <sz val="15"/>
      <color indexed="8"/>
      <name val="TH SarabunPSK"/>
      <family val="2"/>
    </font>
    <font>
      <b/>
      <u val="single"/>
      <sz val="16"/>
      <color indexed="8"/>
      <name val="TH SarabunPSK"/>
      <family val="2"/>
    </font>
    <font>
      <b/>
      <sz val="14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3"/>
      <color rgb="FF000000"/>
      <name val="TH SarabunPSK"/>
      <family val="2"/>
    </font>
    <font>
      <sz val="13"/>
      <color rgb="FF000000"/>
      <name val="TH SarabunPSK"/>
      <family val="2"/>
    </font>
    <font>
      <sz val="13"/>
      <color theme="1"/>
      <name val="TH SarabunPSK"/>
      <family val="2"/>
    </font>
    <font>
      <b/>
      <sz val="13"/>
      <color theme="1"/>
      <name val="TH SarabunPSK"/>
      <family val="2"/>
    </font>
    <font>
      <b/>
      <sz val="16"/>
      <color rgb="FF000000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5"/>
      <color theme="1"/>
      <name val="TH SarabunPSK"/>
      <family val="2"/>
    </font>
    <font>
      <b/>
      <u val="single"/>
      <sz val="16"/>
      <color theme="1"/>
      <name val="TH SarabunPSK"/>
      <family val="2"/>
    </font>
    <font>
      <b/>
      <sz val="14"/>
      <color rgb="FF00000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medium"/>
      <bottom style="medium"/>
    </border>
    <border>
      <left style="thin"/>
      <right style="thin"/>
      <top style="medium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/>
      <right style="thin"/>
      <top style="medium"/>
      <bottom style="medium"/>
    </border>
    <border>
      <left/>
      <right style="thin"/>
      <top style="medium"/>
      <bottom>
        <color indexed="63"/>
      </bottom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medium"/>
      <bottom>
        <color indexed="63"/>
      </bottom>
    </border>
    <border>
      <left/>
      <right style="thin"/>
      <top style="hair"/>
      <bottom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double"/>
    </border>
    <border>
      <left style="thin"/>
      <right style="thin"/>
      <top style="hair"/>
      <bottom style="thin"/>
    </border>
    <border>
      <left style="thin"/>
      <right>
        <color indexed="63"/>
      </right>
      <top style="double"/>
      <bottom style="hair"/>
    </border>
    <border>
      <left style="thin"/>
      <right style="thin"/>
      <top style="double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medium"/>
      <bottom style="hair"/>
    </border>
    <border>
      <left/>
      <right style="thin"/>
      <top style="medium"/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2" applyNumberFormat="0" applyAlignment="0" applyProtection="0"/>
    <xf numFmtId="0" fontId="41" fillId="0" borderId="3" applyNumberFormat="0" applyFill="0" applyAlignment="0" applyProtection="0"/>
    <xf numFmtId="0" fontId="42" fillId="22" borderId="0" applyNumberFormat="0" applyBorder="0" applyAlignment="0" applyProtection="0"/>
    <xf numFmtId="0" fontId="43" fillId="23" borderId="1" applyNumberFormat="0" applyAlignment="0" applyProtection="0"/>
    <xf numFmtId="0" fontId="44" fillId="24" borderId="0" applyNumberFormat="0" applyBorder="0" applyAlignment="0" applyProtection="0"/>
    <xf numFmtId="0" fontId="45" fillId="0" borderId="4" applyNumberFormat="0" applyFill="0" applyAlignment="0" applyProtection="0"/>
    <xf numFmtId="0" fontId="46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47" fillId="20" borderId="5" applyNumberFormat="0" applyAlignment="0" applyProtection="0"/>
    <xf numFmtId="0" fontId="0" fillId="32" borderId="6" applyNumberFormat="0" applyFon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04">
    <xf numFmtId="0" fontId="0" fillId="0" borderId="0" xfId="0" applyAlignment="1">
      <alignment/>
    </xf>
    <xf numFmtId="0" fontId="51" fillId="0" borderId="10" xfId="0" applyFont="1" applyBorder="1" applyAlignment="1">
      <alignment horizontal="center" vertical="center" wrapText="1" readingOrder="1"/>
    </xf>
    <xf numFmtId="43" fontId="51" fillId="0" borderId="10" xfId="33" applyNumberFormat="1" applyFont="1" applyBorder="1" applyAlignment="1">
      <alignment horizontal="center" vertical="center" wrapText="1" readingOrder="1"/>
    </xf>
    <xf numFmtId="0" fontId="51" fillId="0" borderId="11" xfId="0" applyFont="1" applyBorder="1" applyAlignment="1">
      <alignment horizontal="center" wrapText="1" readingOrder="1"/>
    </xf>
    <xf numFmtId="43" fontId="51" fillId="0" borderId="11" xfId="33" applyNumberFormat="1" applyFont="1" applyBorder="1" applyAlignment="1">
      <alignment horizontal="center" wrapText="1" readingOrder="1"/>
    </xf>
    <xf numFmtId="0" fontId="51" fillId="0" borderId="12" xfId="0" applyFont="1" applyBorder="1" applyAlignment="1">
      <alignment horizontal="center" wrapText="1" readingOrder="1"/>
    </xf>
    <xf numFmtId="43" fontId="51" fillId="0" borderId="12" xfId="33" applyNumberFormat="1" applyFont="1" applyBorder="1" applyAlignment="1">
      <alignment horizontal="center" wrapText="1" readingOrder="1"/>
    </xf>
    <xf numFmtId="0" fontId="52" fillId="0" borderId="13" xfId="0" applyFont="1" applyBorder="1" applyAlignment="1">
      <alignment horizontal="center" wrapText="1" readingOrder="1"/>
    </xf>
    <xf numFmtId="4" fontId="52" fillId="0" borderId="13" xfId="0" applyNumberFormat="1" applyFont="1" applyBorder="1" applyAlignment="1">
      <alignment horizontal="right" wrapText="1" readingOrder="1"/>
    </xf>
    <xf numFmtId="43" fontId="52" fillId="0" borderId="13" xfId="33" applyNumberFormat="1" applyFont="1" applyBorder="1" applyAlignment="1">
      <alignment horizontal="right" wrapText="1" readingOrder="1"/>
    </xf>
    <xf numFmtId="0" fontId="51" fillId="0" borderId="14" xfId="0" applyFont="1" applyBorder="1" applyAlignment="1">
      <alignment horizontal="center" wrapText="1" readingOrder="1"/>
    </xf>
    <xf numFmtId="4" fontId="51" fillId="0" borderId="14" xfId="0" applyNumberFormat="1" applyFont="1" applyBorder="1" applyAlignment="1">
      <alignment horizontal="right" wrapText="1" readingOrder="1"/>
    </xf>
    <xf numFmtId="43" fontId="51" fillId="0" borderId="14" xfId="33" applyNumberFormat="1" applyFont="1" applyBorder="1" applyAlignment="1">
      <alignment horizontal="right" wrapText="1" readingOrder="1"/>
    </xf>
    <xf numFmtId="43" fontId="52" fillId="0" borderId="14" xfId="33" applyNumberFormat="1" applyFont="1" applyBorder="1" applyAlignment="1">
      <alignment horizontal="right" wrapText="1" readingOrder="1"/>
    </xf>
    <xf numFmtId="0" fontId="51" fillId="0" borderId="15" xfId="0" applyFont="1" applyBorder="1" applyAlignment="1">
      <alignment horizontal="center" wrapText="1" readingOrder="1"/>
    </xf>
    <xf numFmtId="4" fontId="51" fillId="0" borderId="15" xfId="0" applyNumberFormat="1" applyFont="1" applyBorder="1" applyAlignment="1">
      <alignment horizontal="right" wrapText="1" readingOrder="1"/>
    </xf>
    <xf numFmtId="43" fontId="51" fillId="0" borderId="15" xfId="33" applyNumberFormat="1" applyFont="1" applyBorder="1" applyAlignment="1">
      <alignment horizontal="right" wrapText="1" readingOrder="1"/>
    </xf>
    <xf numFmtId="43" fontId="52" fillId="0" borderId="15" xfId="33" applyNumberFormat="1" applyFont="1" applyBorder="1" applyAlignment="1">
      <alignment horizontal="right" wrapText="1" readingOrder="1"/>
    </xf>
    <xf numFmtId="0" fontId="52" fillId="0" borderId="16" xfId="0" applyFont="1" applyBorder="1" applyAlignment="1">
      <alignment horizontal="center" wrapText="1" readingOrder="1"/>
    </xf>
    <xf numFmtId="4" fontId="52" fillId="0" borderId="16" xfId="0" applyNumberFormat="1" applyFont="1" applyBorder="1" applyAlignment="1">
      <alignment horizontal="right" wrapText="1" readingOrder="1"/>
    </xf>
    <xf numFmtId="0" fontId="52" fillId="0" borderId="13" xfId="0" applyFont="1" applyBorder="1" applyAlignment="1">
      <alignment horizontal="right" wrapText="1" readingOrder="1"/>
    </xf>
    <xf numFmtId="0" fontId="52" fillId="0" borderId="12" xfId="0" applyFont="1" applyBorder="1" applyAlignment="1">
      <alignment horizontal="center" wrapText="1" readingOrder="1"/>
    </xf>
    <xf numFmtId="4" fontId="52" fillId="0" borderId="12" xfId="0" applyNumberFormat="1" applyFont="1" applyBorder="1" applyAlignment="1">
      <alignment horizontal="right" wrapText="1" readingOrder="1"/>
    </xf>
    <xf numFmtId="194" fontId="52" fillId="0" borderId="13" xfId="33" applyNumberFormat="1" applyFont="1" applyBorder="1" applyAlignment="1">
      <alignment horizontal="right" wrapText="1" readingOrder="1"/>
    </xf>
    <xf numFmtId="43" fontId="52" fillId="0" borderId="16" xfId="33" applyNumberFormat="1" applyFont="1" applyBorder="1" applyAlignment="1">
      <alignment horizontal="right" wrapText="1" readingOrder="1"/>
    </xf>
    <xf numFmtId="0" fontId="51" fillId="0" borderId="10" xfId="0" applyFont="1" applyBorder="1" applyAlignment="1">
      <alignment horizontal="center" wrapText="1" readingOrder="1"/>
    </xf>
    <xf numFmtId="43" fontId="51" fillId="0" borderId="10" xfId="33" applyNumberFormat="1" applyFont="1" applyBorder="1" applyAlignment="1">
      <alignment horizontal="right" wrapText="1" readingOrder="1"/>
    </xf>
    <xf numFmtId="0" fontId="51" fillId="0" borderId="12" xfId="0" applyFont="1" applyBorder="1" applyAlignment="1">
      <alignment horizontal="right" wrapText="1" readingOrder="1"/>
    </xf>
    <xf numFmtId="43" fontId="51" fillId="0" borderId="12" xfId="33" applyNumberFormat="1" applyFont="1" applyBorder="1" applyAlignment="1">
      <alignment horizontal="right" wrapText="1" readingOrder="1"/>
    </xf>
    <xf numFmtId="43" fontId="52" fillId="0" borderId="12" xfId="33" applyNumberFormat="1" applyFont="1" applyBorder="1" applyAlignment="1">
      <alignment horizontal="right" wrapText="1" readingOrder="1"/>
    </xf>
    <xf numFmtId="0" fontId="51" fillId="0" borderId="17" xfId="0" applyFont="1" applyBorder="1" applyAlignment="1">
      <alignment horizontal="center" wrapText="1" readingOrder="1"/>
    </xf>
    <xf numFmtId="4" fontId="51" fillId="0" borderId="17" xfId="0" applyNumberFormat="1" applyFont="1" applyBorder="1" applyAlignment="1">
      <alignment horizontal="right" wrapText="1" readingOrder="1"/>
    </xf>
    <xf numFmtId="43" fontId="51" fillId="0" borderId="17" xfId="33" applyNumberFormat="1" applyFont="1" applyBorder="1" applyAlignment="1">
      <alignment horizontal="right" wrapText="1" readingOrder="1"/>
    </xf>
    <xf numFmtId="4" fontId="51" fillId="0" borderId="10" xfId="0" applyNumberFormat="1" applyFont="1" applyBorder="1" applyAlignment="1">
      <alignment horizontal="right" wrapText="1" readingOrder="1"/>
    </xf>
    <xf numFmtId="4" fontId="51" fillId="0" borderId="12" xfId="0" applyNumberFormat="1" applyFont="1" applyBorder="1" applyAlignment="1">
      <alignment horizontal="right" wrapText="1" readingOrder="1"/>
    </xf>
    <xf numFmtId="0" fontId="51" fillId="0" borderId="13" xfId="0" applyFont="1" applyBorder="1" applyAlignment="1">
      <alignment horizontal="center" wrapText="1" readingOrder="1"/>
    </xf>
    <xf numFmtId="4" fontId="51" fillId="0" borderId="13" xfId="0" applyNumberFormat="1" applyFont="1" applyBorder="1" applyAlignment="1">
      <alignment horizontal="right" wrapText="1" readingOrder="1"/>
    </xf>
    <xf numFmtId="0" fontId="52" fillId="0" borderId="18" xfId="0" applyFont="1" applyBorder="1" applyAlignment="1">
      <alignment horizontal="left" vertical="top" wrapText="1" readingOrder="1"/>
    </xf>
    <xf numFmtId="49" fontId="52" fillId="0" borderId="19" xfId="0" applyNumberFormat="1" applyFont="1" applyBorder="1" applyAlignment="1">
      <alignment horizontal="center" wrapText="1" readingOrder="1"/>
    </xf>
    <xf numFmtId="43" fontId="51" fillId="0" borderId="16" xfId="33" applyNumberFormat="1" applyFont="1" applyBorder="1" applyAlignment="1">
      <alignment horizontal="right" wrapText="1" readingOrder="1"/>
    </xf>
    <xf numFmtId="0" fontId="51" fillId="0" borderId="20" xfId="0" applyFont="1" applyBorder="1" applyAlignment="1">
      <alignment horizontal="center" wrapText="1" readingOrder="1"/>
    </xf>
    <xf numFmtId="0" fontId="51" fillId="0" borderId="21" xfId="0" applyFont="1" applyBorder="1" applyAlignment="1">
      <alignment horizontal="center" wrapText="1" readingOrder="1"/>
    </xf>
    <xf numFmtId="43" fontId="52" fillId="0" borderId="17" xfId="33" applyNumberFormat="1" applyFont="1" applyBorder="1" applyAlignment="1">
      <alignment horizontal="right" wrapText="1" readingOrder="1"/>
    </xf>
    <xf numFmtId="0" fontId="53" fillId="0" borderId="0" xfId="0" applyFont="1" applyAlignment="1">
      <alignment/>
    </xf>
    <xf numFmtId="43" fontId="53" fillId="0" borderId="0" xfId="33" applyNumberFormat="1" applyFont="1" applyAlignment="1">
      <alignment/>
    </xf>
    <xf numFmtId="43" fontId="52" fillId="0" borderId="16" xfId="33" applyFont="1" applyBorder="1" applyAlignment="1">
      <alignment horizontal="right" wrapText="1" readingOrder="1"/>
    </xf>
    <xf numFmtId="43" fontId="52" fillId="0" borderId="13" xfId="33" applyFont="1" applyBorder="1" applyAlignment="1">
      <alignment horizontal="right" wrapText="1" readingOrder="1"/>
    </xf>
    <xf numFmtId="0" fontId="54" fillId="0" borderId="22" xfId="0" applyFont="1" applyBorder="1" applyAlignment="1">
      <alignment/>
    </xf>
    <xf numFmtId="0" fontId="51" fillId="0" borderId="23" xfId="0" applyFont="1" applyBorder="1" applyAlignment="1">
      <alignment horizontal="center" vertical="center" wrapText="1" readingOrder="1"/>
    </xf>
    <xf numFmtId="0" fontId="53" fillId="0" borderId="0" xfId="0" applyFont="1" applyAlignment="1">
      <alignment/>
    </xf>
    <xf numFmtId="0" fontId="53" fillId="0" borderId="24" xfId="0" applyFont="1" applyBorder="1" applyAlignment="1">
      <alignment/>
    </xf>
    <xf numFmtId="0" fontId="53" fillId="0" borderId="25" xfId="0" applyFont="1" applyBorder="1" applyAlignment="1">
      <alignment/>
    </xf>
    <xf numFmtId="0" fontId="51" fillId="0" borderId="20" xfId="0" applyFont="1" applyBorder="1" applyAlignment="1">
      <alignment horizontal="right" vertical="center" wrapText="1" readingOrder="1"/>
    </xf>
    <xf numFmtId="0" fontId="53" fillId="0" borderId="26" xfId="0" applyFont="1" applyBorder="1" applyAlignment="1">
      <alignment/>
    </xf>
    <xf numFmtId="0" fontId="52" fillId="0" borderId="27" xfId="0" applyFont="1" applyBorder="1" applyAlignment="1">
      <alignment horizontal="left" vertical="top" wrapText="1" readingOrder="1"/>
    </xf>
    <xf numFmtId="0" fontId="53" fillId="0" borderId="28" xfId="0" applyFont="1" applyBorder="1" applyAlignment="1">
      <alignment/>
    </xf>
    <xf numFmtId="0" fontId="52" fillId="0" borderId="19" xfId="0" applyFont="1" applyBorder="1" applyAlignment="1">
      <alignment horizontal="left" vertical="top" wrapText="1" readingOrder="1"/>
    </xf>
    <xf numFmtId="0" fontId="51" fillId="0" borderId="20" xfId="0" applyFont="1" applyBorder="1" applyAlignment="1">
      <alignment horizontal="right" vertical="top" wrapText="1" readingOrder="1"/>
    </xf>
    <xf numFmtId="0" fontId="53" fillId="0" borderId="29" xfId="0" applyFont="1" applyBorder="1" applyAlignment="1">
      <alignment/>
    </xf>
    <xf numFmtId="0" fontId="51" fillId="0" borderId="21" xfId="0" applyFont="1" applyBorder="1" applyAlignment="1">
      <alignment horizontal="right" vertical="top" wrapText="1" readingOrder="1"/>
    </xf>
    <xf numFmtId="0" fontId="53" fillId="0" borderId="0" xfId="0" applyFont="1" applyBorder="1" applyAlignment="1">
      <alignment/>
    </xf>
    <xf numFmtId="0" fontId="52" fillId="0" borderId="18" xfId="0" applyFont="1" applyBorder="1" applyAlignment="1">
      <alignment horizontal="left" vertical="top" readingOrder="1"/>
    </xf>
    <xf numFmtId="43" fontId="53" fillId="0" borderId="0" xfId="0" applyNumberFormat="1" applyFont="1" applyAlignment="1">
      <alignment/>
    </xf>
    <xf numFmtId="0" fontId="54" fillId="0" borderId="28" xfId="0" applyFont="1" applyBorder="1" applyAlignment="1">
      <alignment horizontal="left"/>
    </xf>
    <xf numFmtId="0" fontId="54" fillId="0" borderId="26" xfId="0" applyFont="1" applyBorder="1" applyAlignment="1">
      <alignment horizontal="left"/>
    </xf>
    <xf numFmtId="0" fontId="52" fillId="0" borderId="30" xfId="0" applyFont="1" applyBorder="1" applyAlignment="1">
      <alignment horizontal="left" vertical="top" wrapText="1" readingOrder="1"/>
    </xf>
    <xf numFmtId="0" fontId="51" fillId="0" borderId="25" xfId="0" applyFont="1" applyBorder="1" applyAlignment="1">
      <alignment horizontal="right" vertical="top" wrapText="1" readingOrder="1"/>
    </xf>
    <xf numFmtId="0" fontId="52" fillId="0" borderId="31" xfId="0" applyFont="1" applyBorder="1" applyAlignment="1">
      <alignment horizontal="left" vertical="top" wrapText="1" readingOrder="1"/>
    </xf>
    <xf numFmtId="0" fontId="51" fillId="0" borderId="29" xfId="0" applyFont="1" applyBorder="1" applyAlignment="1">
      <alignment horizontal="right" vertical="top" wrapText="1" readingOrder="1"/>
    </xf>
    <xf numFmtId="0" fontId="51" fillId="0" borderId="32" xfId="0" applyFont="1" applyBorder="1" applyAlignment="1">
      <alignment horizontal="right" vertical="top" wrapText="1" readingOrder="1"/>
    </xf>
    <xf numFmtId="0" fontId="53" fillId="0" borderId="0" xfId="0" applyFont="1" applyAlignment="1">
      <alignment wrapText="1"/>
    </xf>
    <xf numFmtId="0" fontId="53" fillId="0" borderId="0" xfId="0" applyFont="1" applyAlignment="1">
      <alignment horizontal="center" wrapText="1"/>
    </xf>
    <xf numFmtId="0" fontId="54" fillId="0" borderId="0" xfId="0" applyFont="1" applyBorder="1" applyAlignment="1">
      <alignment horizontal="right"/>
    </xf>
    <xf numFmtId="0" fontId="51" fillId="0" borderId="0" xfId="0" applyFont="1" applyBorder="1" applyAlignment="1">
      <alignment horizontal="center" wrapText="1" readingOrder="1"/>
    </xf>
    <xf numFmtId="4" fontId="51" fillId="0" borderId="0" xfId="0" applyNumberFormat="1" applyFont="1" applyBorder="1" applyAlignment="1">
      <alignment horizontal="right" wrapText="1" readingOrder="1"/>
    </xf>
    <xf numFmtId="43" fontId="52" fillId="0" borderId="0" xfId="33" applyNumberFormat="1" applyFont="1" applyBorder="1" applyAlignment="1">
      <alignment horizontal="right" wrapText="1" readingOrder="1"/>
    </xf>
    <xf numFmtId="43" fontId="52" fillId="0" borderId="10" xfId="33" applyNumberFormat="1" applyFont="1" applyBorder="1" applyAlignment="1">
      <alignment horizontal="right" wrapText="1" readingOrder="1"/>
    </xf>
    <xf numFmtId="4" fontId="51" fillId="0" borderId="33" xfId="0" applyNumberFormat="1" applyFont="1" applyBorder="1" applyAlignment="1">
      <alignment horizontal="right" vertical="center" wrapText="1" readingOrder="1"/>
    </xf>
    <xf numFmtId="43" fontId="51" fillId="0" borderId="33" xfId="33" applyNumberFormat="1" applyFont="1" applyBorder="1" applyAlignment="1">
      <alignment horizontal="right" vertical="center" wrapText="1" readingOrder="1"/>
    </xf>
    <xf numFmtId="0" fontId="51" fillId="0" borderId="0" xfId="0" applyFont="1" applyBorder="1" applyAlignment="1">
      <alignment wrapText="1" readingOrder="1"/>
    </xf>
    <xf numFmtId="0" fontId="51" fillId="0" borderId="10" xfId="0" applyFont="1" applyBorder="1" applyAlignment="1">
      <alignment horizontal="center" vertical="center" wrapText="1" readingOrder="1"/>
    </xf>
    <xf numFmtId="0" fontId="51" fillId="0" borderId="0" xfId="0" applyFont="1" applyBorder="1" applyAlignment="1">
      <alignment horizontal="center" wrapText="1" readingOrder="1"/>
    </xf>
    <xf numFmtId="0" fontId="55" fillId="0" borderId="0" xfId="0" applyFont="1" applyBorder="1" applyAlignment="1">
      <alignment horizontal="center" wrapText="1" readingOrder="1"/>
    </xf>
    <xf numFmtId="0" fontId="51" fillId="0" borderId="0" xfId="0" applyFont="1" applyBorder="1" applyAlignment="1">
      <alignment horizontal="center" wrapText="1" readingOrder="1"/>
    </xf>
    <xf numFmtId="0" fontId="6" fillId="0" borderId="0" xfId="0" applyFont="1" applyAlignment="1">
      <alignment horizontal="right"/>
    </xf>
    <xf numFmtId="4" fontId="7" fillId="0" borderId="0" xfId="0" applyNumberFormat="1" applyFont="1" applyAlignment="1">
      <alignment/>
    </xf>
    <xf numFmtId="0" fontId="55" fillId="0" borderId="0" xfId="0" applyFont="1" applyBorder="1" applyAlignment="1">
      <alignment horizontal="right" wrapText="1" readingOrder="1"/>
    </xf>
    <xf numFmtId="0" fontId="8" fillId="0" borderId="0" xfId="0" applyFont="1" applyAlignment="1">
      <alignment/>
    </xf>
    <xf numFmtId="0" fontId="56" fillId="0" borderId="0" xfId="0" applyFont="1" applyAlignment="1">
      <alignment horizontal="center" vertical="top"/>
    </xf>
    <xf numFmtId="0" fontId="57" fillId="0" borderId="10" xfId="0" applyFont="1" applyBorder="1" applyAlignment="1">
      <alignment horizontal="center" vertical="top"/>
    </xf>
    <xf numFmtId="4" fontId="56" fillId="0" borderId="34" xfId="0" applyNumberFormat="1" applyFont="1" applyBorder="1" applyAlignment="1">
      <alignment horizontal="left" vertical="top" wrapText="1"/>
    </xf>
    <xf numFmtId="4" fontId="56" fillId="0" borderId="34" xfId="0" applyNumberFormat="1" applyFont="1" applyBorder="1" applyAlignment="1">
      <alignment horizontal="center" vertical="top"/>
    </xf>
    <xf numFmtId="4" fontId="56" fillId="0" borderId="13" xfId="0" applyNumberFormat="1" applyFont="1" applyBorder="1" applyAlignment="1">
      <alignment horizontal="left" vertical="top" wrapText="1"/>
    </xf>
    <xf numFmtId="4" fontId="56" fillId="0" borderId="13" xfId="0" applyNumberFormat="1" applyFont="1" applyBorder="1" applyAlignment="1">
      <alignment horizontal="center" vertical="top"/>
    </xf>
    <xf numFmtId="4" fontId="57" fillId="0" borderId="13" xfId="0" applyNumberFormat="1" applyFont="1" applyBorder="1" applyAlignment="1">
      <alignment horizontal="right" vertical="top" wrapText="1"/>
    </xf>
    <xf numFmtId="4" fontId="57" fillId="0" borderId="35" xfId="0" applyNumberFormat="1" applyFont="1" applyBorder="1" applyAlignment="1">
      <alignment horizontal="center" vertical="top"/>
    </xf>
    <xf numFmtId="4" fontId="58" fillId="0" borderId="13" xfId="0" applyNumberFormat="1" applyFont="1" applyBorder="1" applyAlignment="1">
      <alignment horizontal="left" vertical="top" wrapText="1"/>
    </xf>
    <xf numFmtId="4" fontId="56" fillId="0" borderId="12" xfId="0" applyNumberFormat="1" applyFont="1" applyBorder="1" applyAlignment="1">
      <alignment horizontal="center" vertical="top"/>
    </xf>
    <xf numFmtId="4" fontId="59" fillId="0" borderId="13" xfId="0" applyNumberFormat="1" applyFont="1" applyBorder="1" applyAlignment="1">
      <alignment horizontal="left" vertical="top"/>
    </xf>
    <xf numFmtId="4" fontId="57" fillId="0" borderId="12" xfId="0" applyNumberFormat="1" applyFont="1" applyBorder="1" applyAlignment="1">
      <alignment horizontal="center" vertical="top"/>
    </xf>
    <xf numFmtId="0" fontId="57" fillId="0" borderId="13" xfId="0" applyFont="1" applyBorder="1" applyAlignment="1">
      <alignment horizontal="right" vertical="top"/>
    </xf>
    <xf numFmtId="4" fontId="59" fillId="0" borderId="13" xfId="0" applyNumberFormat="1" applyFont="1" applyBorder="1" applyAlignment="1">
      <alignment horizontal="left" vertical="top" wrapText="1"/>
    </xf>
    <xf numFmtId="4" fontId="56" fillId="0" borderId="36" xfId="0" applyNumberFormat="1" applyFont="1" applyBorder="1" applyAlignment="1">
      <alignment horizontal="left" vertical="top" wrapText="1"/>
    </xf>
    <xf numFmtId="4" fontId="56" fillId="0" borderId="36" xfId="0" applyNumberFormat="1" applyFont="1" applyBorder="1" applyAlignment="1">
      <alignment horizontal="center" vertical="top"/>
    </xf>
    <xf numFmtId="4" fontId="56" fillId="0" borderId="0" xfId="0" applyNumberFormat="1" applyFont="1" applyBorder="1" applyAlignment="1">
      <alignment horizontal="left" vertical="top" wrapText="1"/>
    </xf>
    <xf numFmtId="4" fontId="57" fillId="0" borderId="0" xfId="0" applyNumberFormat="1" applyFont="1" applyBorder="1" applyAlignment="1">
      <alignment horizontal="center" vertical="top"/>
    </xf>
    <xf numFmtId="4" fontId="56" fillId="0" borderId="0" xfId="0" applyNumberFormat="1" applyFont="1" applyBorder="1" applyAlignment="1">
      <alignment horizontal="center" vertical="top"/>
    </xf>
    <xf numFmtId="4" fontId="59" fillId="0" borderId="28" xfId="0" applyNumberFormat="1" applyFont="1" applyBorder="1" applyAlignment="1">
      <alignment vertical="top" wrapText="1"/>
    </xf>
    <xf numFmtId="4" fontId="59" fillId="0" borderId="37" xfId="0" applyNumberFormat="1" applyFont="1" applyBorder="1" applyAlignment="1">
      <alignment vertical="top" wrapText="1"/>
    </xf>
    <xf numFmtId="4" fontId="59" fillId="0" borderId="38" xfId="0" applyNumberFormat="1" applyFont="1" applyBorder="1" applyAlignment="1">
      <alignment vertical="top" wrapText="1"/>
    </xf>
    <xf numFmtId="4" fontId="59" fillId="0" borderId="12" xfId="0" applyNumberFormat="1" applyFont="1" applyBorder="1" applyAlignment="1">
      <alignment vertical="top" wrapText="1"/>
    </xf>
    <xf numFmtId="4" fontId="56" fillId="0" borderId="28" xfId="0" applyNumberFormat="1" applyFont="1" applyBorder="1" applyAlignment="1">
      <alignment vertical="top" wrapText="1"/>
    </xf>
    <xf numFmtId="4" fontId="56" fillId="0" borderId="28" xfId="0" applyNumberFormat="1" applyFont="1" applyBorder="1" applyAlignment="1">
      <alignment horizontal="center" vertical="top" wrapText="1"/>
    </xf>
    <xf numFmtId="4" fontId="56" fillId="0" borderId="39" xfId="0" applyNumberFormat="1" applyFont="1" applyBorder="1" applyAlignment="1">
      <alignment vertical="top" wrapText="1"/>
    </xf>
    <xf numFmtId="4" fontId="56" fillId="0" borderId="39" xfId="0" applyNumberFormat="1" applyFont="1" applyBorder="1" applyAlignment="1">
      <alignment horizontal="center" vertical="top" wrapText="1"/>
    </xf>
    <xf numFmtId="4" fontId="56" fillId="0" borderId="22" xfId="0" applyNumberFormat="1" applyFont="1" applyBorder="1" applyAlignment="1">
      <alignment vertical="top" wrapText="1"/>
    </xf>
    <xf numFmtId="4" fontId="56" fillId="0" borderId="22" xfId="0" applyNumberFormat="1" applyFont="1" applyBorder="1" applyAlignment="1">
      <alignment horizontal="center" vertical="top" wrapText="1"/>
    </xf>
    <xf numFmtId="4" fontId="59" fillId="0" borderId="24" xfId="0" applyNumberFormat="1" applyFont="1" applyBorder="1" applyAlignment="1">
      <alignment horizontal="left" vertical="top" wrapText="1"/>
    </xf>
    <xf numFmtId="4" fontId="57" fillId="0" borderId="40" xfId="0" applyNumberFormat="1" applyFont="1" applyBorder="1" applyAlignment="1">
      <alignment horizontal="center" vertical="top"/>
    </xf>
    <xf numFmtId="4" fontId="57" fillId="0" borderId="19" xfId="0" applyNumberFormat="1" applyFont="1" applyBorder="1" applyAlignment="1">
      <alignment horizontal="center" vertical="top"/>
    </xf>
    <xf numFmtId="4" fontId="57" fillId="0" borderId="13" xfId="0" applyNumberFormat="1" applyFont="1" applyBorder="1" applyAlignment="1">
      <alignment horizontal="center" vertical="top"/>
    </xf>
    <xf numFmtId="4" fontId="57" fillId="0" borderId="0" xfId="0" applyNumberFormat="1" applyFont="1" applyBorder="1" applyAlignment="1">
      <alignment horizontal="right" vertical="top" wrapText="1"/>
    </xf>
    <xf numFmtId="4" fontId="56" fillId="0" borderId="16" xfId="0" applyNumberFormat="1" applyFont="1" applyBorder="1" applyAlignment="1">
      <alignment vertical="top" wrapText="1"/>
    </xf>
    <xf numFmtId="4" fontId="56" fillId="0" borderId="16" xfId="0" applyNumberFormat="1" applyFont="1" applyBorder="1" applyAlignment="1">
      <alignment horizontal="center" vertical="top"/>
    </xf>
    <xf numFmtId="4" fontId="56" fillId="0" borderId="13" xfId="0" applyNumberFormat="1" applyFont="1" applyBorder="1" applyAlignment="1">
      <alignment vertical="top" wrapText="1"/>
    </xf>
    <xf numFmtId="4" fontId="59" fillId="0" borderId="13" xfId="0" applyNumberFormat="1" applyFont="1" applyBorder="1" applyAlignment="1">
      <alignment vertical="top"/>
    </xf>
    <xf numFmtId="4" fontId="56" fillId="0" borderId="41" xfId="0" applyNumberFormat="1" applyFont="1" applyBorder="1" applyAlignment="1">
      <alignment horizontal="center" vertical="top"/>
    </xf>
    <xf numFmtId="4" fontId="59" fillId="0" borderId="13" xfId="0" applyNumberFormat="1" applyFont="1" applyBorder="1" applyAlignment="1">
      <alignment vertical="top" wrapText="1"/>
    </xf>
    <xf numFmtId="4" fontId="57" fillId="0" borderId="42" xfId="0" applyNumberFormat="1" applyFont="1" applyBorder="1" applyAlignment="1">
      <alignment horizontal="right" vertical="top" wrapText="1"/>
    </xf>
    <xf numFmtId="4" fontId="57" fillId="0" borderId="11" xfId="0" applyNumberFormat="1" applyFont="1" applyBorder="1" applyAlignment="1">
      <alignment horizontal="left" vertical="top" wrapText="1"/>
    </xf>
    <xf numFmtId="4" fontId="57" fillId="0" borderId="37" xfId="0" applyNumberFormat="1" applyFont="1" applyBorder="1" applyAlignment="1">
      <alignment horizontal="center" vertical="top"/>
    </xf>
    <xf numFmtId="4" fontId="57" fillId="0" borderId="13" xfId="0" applyNumberFormat="1" applyFont="1" applyBorder="1" applyAlignment="1">
      <alignment horizontal="left" vertical="top" wrapText="1"/>
    </xf>
    <xf numFmtId="4" fontId="59" fillId="0" borderId="13" xfId="0" applyNumberFormat="1" applyFont="1" applyBorder="1" applyAlignment="1">
      <alignment horizontal="right" vertical="top" wrapText="1"/>
    </xf>
    <xf numFmtId="4" fontId="57" fillId="0" borderId="43" xfId="0" applyNumberFormat="1" applyFont="1" applyBorder="1" applyAlignment="1">
      <alignment vertical="top"/>
    </xf>
    <xf numFmtId="4" fontId="57" fillId="0" borderId="44" xfId="0" applyNumberFormat="1" applyFont="1" applyBorder="1" applyAlignment="1">
      <alignment horizontal="right" vertical="top" wrapText="1"/>
    </xf>
    <xf numFmtId="4" fontId="57" fillId="0" borderId="0" xfId="0" applyNumberFormat="1" applyFont="1" applyBorder="1" applyAlignment="1">
      <alignment vertical="top"/>
    </xf>
    <xf numFmtId="4" fontId="59" fillId="0" borderId="34" xfId="0" applyNumberFormat="1" applyFont="1" applyBorder="1" applyAlignment="1">
      <alignment horizontal="left" vertical="top"/>
    </xf>
    <xf numFmtId="4" fontId="57" fillId="0" borderId="39" xfId="0" applyNumberFormat="1" applyFont="1" applyBorder="1" applyAlignment="1">
      <alignment horizontal="right" vertical="top" wrapText="1"/>
    </xf>
    <xf numFmtId="4" fontId="57" fillId="0" borderId="45" xfId="0" applyNumberFormat="1" applyFont="1" applyBorder="1" applyAlignment="1">
      <alignment horizontal="center" vertical="top"/>
    </xf>
    <xf numFmtId="4" fontId="57" fillId="0" borderId="24" xfId="0" applyNumberFormat="1" applyFont="1" applyBorder="1" applyAlignment="1">
      <alignment horizontal="right" vertical="top" wrapText="1"/>
    </xf>
    <xf numFmtId="4" fontId="57" fillId="0" borderId="28" xfId="0" applyNumberFormat="1" applyFont="1" applyBorder="1" applyAlignment="1">
      <alignment horizontal="left" vertical="top" wrapText="1"/>
    </xf>
    <xf numFmtId="4" fontId="57" fillId="0" borderId="33" xfId="0" applyNumberFormat="1" applyFont="1" applyBorder="1" applyAlignment="1">
      <alignment horizontal="center" vertical="top"/>
    </xf>
    <xf numFmtId="4" fontId="57" fillId="0" borderId="46" xfId="0" applyNumberFormat="1" applyFont="1" applyBorder="1" applyAlignment="1">
      <alignment horizontal="right" vertical="top" wrapText="1"/>
    </xf>
    <xf numFmtId="4" fontId="59" fillId="0" borderId="46" xfId="0" applyNumberFormat="1" applyFont="1" applyBorder="1" applyAlignment="1">
      <alignment vertical="top"/>
    </xf>
    <xf numFmtId="4" fontId="59" fillId="0" borderId="18" xfId="0" applyNumberFormat="1" applyFont="1" applyBorder="1" applyAlignment="1">
      <alignment vertical="top"/>
    </xf>
    <xf numFmtId="0" fontId="57" fillId="0" borderId="0" xfId="0" applyFont="1" applyBorder="1" applyAlignment="1">
      <alignment horizontal="right" vertical="top"/>
    </xf>
    <xf numFmtId="4" fontId="56" fillId="0" borderId="24" xfId="0" applyNumberFormat="1" applyFont="1" applyBorder="1" applyAlignment="1">
      <alignment horizontal="left" vertical="top" wrapText="1"/>
    </xf>
    <xf numFmtId="4" fontId="57" fillId="0" borderId="24" xfId="0" applyNumberFormat="1" applyFont="1" applyBorder="1" applyAlignment="1">
      <alignment vertical="top" wrapText="1"/>
    </xf>
    <xf numFmtId="4" fontId="57" fillId="0" borderId="46" xfId="0" applyNumberFormat="1" applyFont="1" applyBorder="1" applyAlignment="1">
      <alignment vertical="top" wrapText="1"/>
    </xf>
    <xf numFmtId="4" fontId="57" fillId="0" borderId="18" xfId="0" applyNumberFormat="1" applyFont="1" applyBorder="1" applyAlignment="1">
      <alignment vertical="top" wrapText="1"/>
    </xf>
    <xf numFmtId="0" fontId="57" fillId="0" borderId="16" xfId="0" applyFont="1" applyBorder="1" applyAlignment="1">
      <alignment horizontal="left" vertical="top"/>
    </xf>
    <xf numFmtId="0" fontId="57" fillId="0" borderId="16" xfId="0" applyFont="1" applyBorder="1" applyAlignment="1">
      <alignment horizontal="center" vertical="top"/>
    </xf>
    <xf numFmtId="4" fontId="56" fillId="0" borderId="47" xfId="0" applyNumberFormat="1" applyFont="1" applyBorder="1" applyAlignment="1">
      <alignment horizontal="left" vertical="top" wrapText="1"/>
    </xf>
    <xf numFmtId="4" fontId="57" fillId="0" borderId="0" xfId="0" applyNumberFormat="1" applyFont="1" applyBorder="1" applyAlignment="1">
      <alignment horizontal="left" vertical="top" wrapText="1"/>
    </xf>
    <xf numFmtId="4" fontId="57" fillId="0" borderId="48" xfId="0" applyNumberFormat="1" applyFont="1" applyBorder="1" applyAlignment="1">
      <alignment horizontal="center" vertical="top"/>
    </xf>
    <xf numFmtId="4" fontId="57" fillId="0" borderId="49" xfId="0" applyNumberFormat="1" applyFont="1" applyBorder="1" applyAlignment="1">
      <alignment horizontal="center" vertical="top"/>
    </xf>
    <xf numFmtId="0" fontId="57" fillId="0" borderId="36" xfId="0" applyFont="1" applyBorder="1" applyAlignment="1">
      <alignment horizontal="right" vertical="top"/>
    </xf>
    <xf numFmtId="0" fontId="57" fillId="0" borderId="0" xfId="0" applyFont="1" applyBorder="1" applyAlignment="1">
      <alignment horizontal="left" vertical="top"/>
    </xf>
    <xf numFmtId="0" fontId="57" fillId="0" borderId="0" xfId="0" applyFont="1" applyBorder="1" applyAlignment="1">
      <alignment horizontal="center" vertical="top"/>
    </xf>
    <xf numFmtId="4" fontId="10" fillId="0" borderId="33" xfId="0" applyNumberFormat="1" applyFont="1" applyBorder="1" applyAlignment="1">
      <alignment horizontal="center"/>
    </xf>
    <xf numFmtId="0" fontId="10" fillId="0" borderId="26" xfId="0" applyFont="1" applyBorder="1" applyAlignment="1">
      <alignment horizontal="right"/>
    </xf>
    <xf numFmtId="0" fontId="10" fillId="0" borderId="10" xfId="0" applyFont="1" applyBorder="1" applyAlignment="1">
      <alignment horizontal="right"/>
    </xf>
    <xf numFmtId="4" fontId="10" fillId="0" borderId="45" xfId="0" applyNumberFormat="1" applyFont="1" applyBorder="1" applyAlignment="1">
      <alignment horizontal="center"/>
    </xf>
    <xf numFmtId="4" fontId="56" fillId="0" borderId="0" xfId="0" applyNumberFormat="1" applyFont="1" applyBorder="1" applyAlignment="1">
      <alignment vertical="top" wrapText="1"/>
    </xf>
    <xf numFmtId="4" fontId="56" fillId="0" borderId="0" xfId="0" applyNumberFormat="1" applyFont="1" applyBorder="1" applyAlignment="1">
      <alignment horizontal="center" vertical="top" wrapText="1"/>
    </xf>
    <xf numFmtId="4" fontId="57" fillId="0" borderId="16" xfId="0" applyNumberFormat="1" applyFont="1" applyBorder="1" applyAlignment="1">
      <alignment horizontal="center" vertical="top"/>
    </xf>
    <xf numFmtId="4" fontId="59" fillId="0" borderId="0" xfId="0" applyNumberFormat="1" applyFont="1" applyBorder="1" applyAlignment="1">
      <alignment horizontal="right" vertical="top" wrapText="1"/>
    </xf>
    <xf numFmtId="4" fontId="57" fillId="0" borderId="47" xfId="0" applyNumberFormat="1" applyFont="1" applyBorder="1" applyAlignment="1">
      <alignment horizontal="right" vertical="top" wrapText="1"/>
    </xf>
    <xf numFmtId="4" fontId="57" fillId="0" borderId="36" xfId="0" applyNumberFormat="1" applyFont="1" applyBorder="1" applyAlignment="1">
      <alignment horizontal="right" vertical="top" wrapText="1"/>
    </xf>
    <xf numFmtId="4" fontId="59" fillId="0" borderId="34" xfId="0" applyNumberFormat="1" applyFont="1" applyBorder="1" applyAlignment="1">
      <alignment horizontal="left" vertical="top" wrapText="1"/>
    </xf>
    <xf numFmtId="4" fontId="56" fillId="0" borderId="16" xfId="0" applyNumberFormat="1" applyFont="1" applyBorder="1" applyAlignment="1">
      <alignment horizontal="left" vertical="top" wrapText="1"/>
    </xf>
    <xf numFmtId="0" fontId="10" fillId="0" borderId="0" xfId="0" applyFont="1" applyBorder="1" applyAlignment="1">
      <alignment horizontal="right"/>
    </xf>
    <xf numFmtId="4" fontId="10" fillId="0" borderId="0" xfId="0" applyNumberFormat="1" applyFont="1" applyBorder="1" applyAlignment="1">
      <alignment horizontal="center"/>
    </xf>
    <xf numFmtId="4" fontId="10" fillId="0" borderId="0" xfId="0" applyNumberFormat="1" applyFont="1" applyAlignment="1">
      <alignment/>
    </xf>
    <xf numFmtId="0" fontId="51" fillId="0" borderId="25" xfId="0" applyFont="1" applyBorder="1" applyAlignment="1">
      <alignment horizontal="right" vertical="top" wrapText="1" readingOrder="1"/>
    </xf>
    <xf numFmtId="0" fontId="51" fillId="0" borderId="20" xfId="0" applyFont="1" applyBorder="1" applyAlignment="1">
      <alignment horizontal="right" vertical="top" wrapText="1" readingOrder="1"/>
    </xf>
    <xf numFmtId="0" fontId="51" fillId="0" borderId="0" xfId="0" applyFont="1" applyAlignment="1">
      <alignment horizontal="center" wrapText="1" readingOrder="1"/>
    </xf>
    <xf numFmtId="0" fontId="51" fillId="0" borderId="50" xfId="0" applyFont="1" applyBorder="1" applyAlignment="1">
      <alignment horizontal="center" vertical="center" wrapText="1" readingOrder="1"/>
    </xf>
    <xf numFmtId="0" fontId="51" fillId="0" borderId="51" xfId="0" applyFont="1" applyBorder="1" applyAlignment="1">
      <alignment horizontal="center" vertical="center" wrapText="1" readingOrder="1"/>
    </xf>
    <xf numFmtId="0" fontId="51" fillId="0" borderId="28" xfId="0" applyFont="1" applyBorder="1" applyAlignment="1">
      <alignment horizontal="left" vertical="top" wrapText="1" readingOrder="1"/>
    </xf>
    <xf numFmtId="0" fontId="51" fillId="0" borderId="19" xfId="0" applyFont="1" applyBorder="1" applyAlignment="1">
      <alignment horizontal="left" vertical="top" wrapText="1" readingOrder="1"/>
    </xf>
    <xf numFmtId="0" fontId="51" fillId="0" borderId="52" xfId="0" applyFont="1" applyBorder="1" applyAlignment="1">
      <alignment horizontal="left" vertical="top" wrapText="1" readingOrder="1"/>
    </xf>
    <xf numFmtId="0" fontId="51" fillId="0" borderId="53" xfId="0" applyFont="1" applyBorder="1" applyAlignment="1">
      <alignment horizontal="left" vertical="top" wrapText="1" readingOrder="1"/>
    </xf>
    <xf numFmtId="0" fontId="51" fillId="0" borderId="0" xfId="0" applyFont="1" applyBorder="1" applyAlignment="1">
      <alignment horizontal="center" wrapText="1" readingOrder="1"/>
    </xf>
    <xf numFmtId="0" fontId="54" fillId="0" borderId="52" xfId="0" applyFont="1" applyBorder="1" applyAlignment="1">
      <alignment horizontal="left"/>
    </xf>
    <xf numFmtId="0" fontId="54" fillId="0" borderId="53" xfId="0" applyFont="1" applyBorder="1" applyAlignment="1">
      <alignment horizontal="left"/>
    </xf>
    <xf numFmtId="0" fontId="51" fillId="0" borderId="50" xfId="0" applyFont="1" applyBorder="1" applyAlignment="1">
      <alignment horizontal="right" vertical="top" wrapText="1" readingOrder="1"/>
    </xf>
    <xf numFmtId="0" fontId="51" fillId="0" borderId="51" xfId="0" applyFont="1" applyBorder="1" applyAlignment="1">
      <alignment horizontal="right" vertical="top" wrapText="1" readingOrder="1"/>
    </xf>
    <xf numFmtId="0" fontId="54" fillId="0" borderId="50" xfId="0" applyFont="1" applyBorder="1" applyAlignment="1">
      <alignment horizontal="right"/>
    </xf>
    <xf numFmtId="0" fontId="54" fillId="0" borderId="51" xfId="0" applyFont="1" applyBorder="1" applyAlignment="1">
      <alignment horizontal="right"/>
    </xf>
    <xf numFmtId="0" fontId="51" fillId="0" borderId="10" xfId="0" applyFont="1" applyBorder="1" applyAlignment="1">
      <alignment horizontal="center" vertical="center" wrapText="1" readingOrder="1"/>
    </xf>
    <xf numFmtId="0" fontId="54" fillId="0" borderId="28" xfId="0" applyFont="1" applyBorder="1" applyAlignment="1">
      <alignment horizontal="left"/>
    </xf>
    <xf numFmtId="0" fontId="54" fillId="0" borderId="19" xfId="0" applyFont="1" applyBorder="1" applyAlignment="1">
      <alignment horizontal="left"/>
    </xf>
    <xf numFmtId="0" fontId="51" fillId="0" borderId="54" xfId="0" applyFont="1" applyBorder="1" applyAlignment="1">
      <alignment horizontal="center" vertical="center" wrapText="1" readingOrder="1"/>
    </xf>
    <xf numFmtId="0" fontId="54" fillId="0" borderId="22" xfId="0" applyFont="1" applyBorder="1" applyAlignment="1">
      <alignment horizontal="left" vertical="center" wrapText="1"/>
    </xf>
    <xf numFmtId="0" fontId="54" fillId="0" borderId="23" xfId="0" applyFont="1" applyBorder="1" applyAlignment="1">
      <alignment horizontal="left" vertical="center" wrapText="1"/>
    </xf>
    <xf numFmtId="0" fontId="51" fillId="0" borderId="24" xfId="0" applyFont="1" applyBorder="1" applyAlignment="1">
      <alignment horizontal="left" vertical="top" wrapText="1" readingOrder="1"/>
    </xf>
    <xf numFmtId="0" fontId="51" fillId="0" borderId="18" xfId="0" applyFont="1" applyBorder="1" applyAlignment="1">
      <alignment horizontal="left" vertical="top" wrapText="1" readingOrder="1"/>
    </xf>
    <xf numFmtId="0" fontId="54" fillId="0" borderId="52" xfId="0" applyFont="1" applyBorder="1" applyAlignment="1">
      <alignment horizontal="left" wrapText="1"/>
    </xf>
    <xf numFmtId="0" fontId="54" fillId="0" borderId="53" xfId="0" applyFont="1" applyBorder="1" applyAlignment="1">
      <alignment horizontal="left" wrapText="1"/>
    </xf>
    <xf numFmtId="0" fontId="55" fillId="0" borderId="0" xfId="0" applyFont="1" applyAlignment="1">
      <alignment horizontal="center" wrapText="1" readingOrder="1"/>
    </xf>
    <xf numFmtId="0" fontId="55" fillId="0" borderId="0" xfId="0" applyFont="1" applyBorder="1" applyAlignment="1">
      <alignment horizontal="center" wrapText="1" readingOrder="1"/>
    </xf>
    <xf numFmtId="4" fontId="59" fillId="0" borderId="0" xfId="0" applyNumberFormat="1" applyFont="1" applyBorder="1" applyAlignment="1">
      <alignment horizontal="center" vertical="top"/>
    </xf>
    <xf numFmtId="0" fontId="60" fillId="0" borderId="0" xfId="0" applyFont="1" applyAlignment="1">
      <alignment horizontal="center" wrapText="1" readingOrder="1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4"/>
  <sheetViews>
    <sheetView view="pageBreakPreview" zoomScaleSheetLayoutView="100" zoomScalePageLayoutView="0" workbookViewId="0" topLeftCell="A71">
      <selection activeCell="B87" sqref="B87"/>
    </sheetView>
  </sheetViews>
  <sheetFormatPr defaultColWidth="9.7109375" defaultRowHeight="12.75"/>
  <cols>
    <col min="1" max="1" width="1.28515625" style="49" customWidth="1"/>
    <col min="2" max="2" width="36.28125" style="70" customWidth="1"/>
    <col min="3" max="3" width="13.140625" style="71" customWidth="1"/>
    <col min="4" max="4" width="15.8515625" style="43" customWidth="1"/>
    <col min="5" max="5" width="17.421875" style="44" customWidth="1"/>
    <col min="6" max="16384" width="9.7109375" style="49" customWidth="1"/>
  </cols>
  <sheetData>
    <row r="1" spans="1:5" s="43" customFormat="1" ht="18.75" customHeight="1">
      <c r="A1" s="176" t="s">
        <v>73</v>
      </c>
      <c r="B1" s="176"/>
      <c r="C1" s="176"/>
      <c r="D1" s="176"/>
      <c r="E1" s="176"/>
    </row>
    <row r="2" spans="1:5" s="43" customFormat="1" ht="18.75" customHeight="1">
      <c r="A2" s="176" t="s">
        <v>72</v>
      </c>
      <c r="B2" s="176"/>
      <c r="C2" s="176"/>
      <c r="D2" s="176"/>
      <c r="E2" s="176"/>
    </row>
    <row r="3" spans="1:5" s="43" customFormat="1" ht="18.75" customHeight="1">
      <c r="A3" s="183" t="s">
        <v>223</v>
      </c>
      <c r="B3" s="183"/>
      <c r="C3" s="183"/>
      <c r="D3" s="183"/>
      <c r="E3" s="183"/>
    </row>
    <row r="4" spans="1:5" s="43" customFormat="1" ht="18.75" customHeight="1">
      <c r="A4" s="79"/>
      <c r="B4" s="79"/>
      <c r="C4" s="81"/>
      <c r="D4" s="81"/>
      <c r="E4" s="79"/>
    </row>
    <row r="5" spans="1:5" s="43" customFormat="1" ht="18" customHeight="1">
      <c r="A5" s="177" t="s">
        <v>13</v>
      </c>
      <c r="B5" s="178"/>
      <c r="C5" s="80" t="s">
        <v>6</v>
      </c>
      <c r="D5" s="80" t="s">
        <v>7</v>
      </c>
      <c r="E5" s="2" t="s">
        <v>74</v>
      </c>
    </row>
    <row r="6" spans="1:5" ht="19.5">
      <c r="A6" s="47" t="s">
        <v>14</v>
      </c>
      <c r="B6" s="48"/>
      <c r="C6" s="3"/>
      <c r="D6" s="3"/>
      <c r="E6" s="4"/>
    </row>
    <row r="7" spans="1:5" ht="18.75" customHeight="1">
      <c r="A7" s="179" t="s">
        <v>15</v>
      </c>
      <c r="B7" s="180"/>
      <c r="C7" s="5"/>
      <c r="D7" s="5"/>
      <c r="E7" s="6"/>
    </row>
    <row r="8" spans="1:5" ht="19.5">
      <c r="A8" s="50"/>
      <c r="B8" s="37" t="s">
        <v>16</v>
      </c>
      <c r="C8" s="7">
        <v>411001</v>
      </c>
      <c r="D8" s="8">
        <v>2000000</v>
      </c>
      <c r="E8" s="9">
        <f>26113+42554+1873155</f>
        <v>1941822</v>
      </c>
    </row>
    <row r="9" spans="1:5" ht="19.5">
      <c r="A9" s="50"/>
      <c r="B9" s="37" t="s">
        <v>17</v>
      </c>
      <c r="C9" s="7">
        <v>411002</v>
      </c>
      <c r="D9" s="8">
        <v>180000</v>
      </c>
      <c r="E9" s="9">
        <f>148325.4+1615+369.55</f>
        <v>150309.94999999998</v>
      </c>
    </row>
    <row r="10" spans="1:5" ht="20.25" thickBot="1">
      <c r="A10" s="50"/>
      <c r="B10" s="37" t="s">
        <v>18</v>
      </c>
      <c r="C10" s="7">
        <v>411003</v>
      </c>
      <c r="D10" s="8">
        <v>40000</v>
      </c>
      <c r="E10" s="9">
        <f>3280+17536+44671</f>
        <v>65487</v>
      </c>
    </row>
    <row r="11" spans="1:5" ht="20.25" thickBot="1">
      <c r="A11" s="51"/>
      <c r="B11" s="52" t="s">
        <v>19</v>
      </c>
      <c r="C11" s="10"/>
      <c r="D11" s="11">
        <f>SUM(D8:D10)</f>
        <v>2220000</v>
      </c>
      <c r="E11" s="13">
        <f>SUM(E8:E10)</f>
        <v>2157618.95</v>
      </c>
    </row>
    <row r="12" spans="1:5" ht="18.75" customHeight="1">
      <c r="A12" s="181" t="s">
        <v>20</v>
      </c>
      <c r="B12" s="182"/>
      <c r="C12" s="14"/>
      <c r="D12" s="15"/>
      <c r="E12" s="17"/>
    </row>
    <row r="13" spans="1:5" ht="19.5">
      <c r="A13" s="50"/>
      <c r="B13" s="37" t="s">
        <v>21</v>
      </c>
      <c r="C13" s="7">
        <v>412106</v>
      </c>
      <c r="D13" s="8">
        <v>30000</v>
      </c>
      <c r="E13" s="9">
        <f>456.3+120.6</f>
        <v>576.9</v>
      </c>
    </row>
    <row r="14" spans="1:5" ht="19.5">
      <c r="A14" s="53"/>
      <c r="B14" s="54" t="s">
        <v>22</v>
      </c>
      <c r="C14" s="18">
        <v>412107</v>
      </c>
      <c r="D14" s="19">
        <v>250000</v>
      </c>
      <c r="E14" s="9">
        <f>17090+29940+21910</f>
        <v>68940</v>
      </c>
    </row>
    <row r="15" spans="1:5" ht="19.5">
      <c r="A15" s="50"/>
      <c r="B15" s="37" t="s">
        <v>23</v>
      </c>
      <c r="C15" s="7">
        <v>412112</v>
      </c>
      <c r="D15" s="8">
        <v>2000</v>
      </c>
      <c r="E15" s="9" t="s">
        <v>75</v>
      </c>
    </row>
    <row r="16" spans="1:5" ht="19.5">
      <c r="A16" s="53"/>
      <c r="B16" s="54" t="s">
        <v>24</v>
      </c>
      <c r="C16" s="18">
        <v>412128</v>
      </c>
      <c r="D16" s="45">
        <v>1000</v>
      </c>
      <c r="E16" s="9">
        <f>50+50</f>
        <v>100</v>
      </c>
    </row>
    <row r="17" spans="1:5" ht="19.5">
      <c r="A17" s="50"/>
      <c r="B17" s="37" t="s">
        <v>25</v>
      </c>
      <c r="C17" s="7">
        <v>412202</v>
      </c>
      <c r="D17" s="46">
        <v>1000</v>
      </c>
      <c r="E17" s="9">
        <v>500</v>
      </c>
    </row>
    <row r="18" spans="1:5" ht="19.5">
      <c r="A18" s="55"/>
      <c r="B18" s="56" t="s">
        <v>26</v>
      </c>
      <c r="C18" s="21">
        <v>412210</v>
      </c>
      <c r="D18" s="22">
        <v>2000</v>
      </c>
      <c r="E18" s="9" t="s">
        <v>75</v>
      </c>
    </row>
    <row r="19" spans="1:5" ht="39">
      <c r="A19" s="50"/>
      <c r="B19" s="37" t="s">
        <v>27</v>
      </c>
      <c r="C19" s="20">
        <v>412303</v>
      </c>
      <c r="D19" s="8">
        <v>10000</v>
      </c>
      <c r="E19" s="9">
        <f>100+7200</f>
        <v>7300</v>
      </c>
    </row>
    <row r="20" spans="1:5" ht="39">
      <c r="A20" s="50"/>
      <c r="B20" s="37" t="s">
        <v>28</v>
      </c>
      <c r="C20" s="20">
        <v>412304</v>
      </c>
      <c r="D20" s="8">
        <v>10000</v>
      </c>
      <c r="E20" s="9">
        <v>2750</v>
      </c>
    </row>
    <row r="21" spans="1:5" ht="19.5">
      <c r="A21" s="50"/>
      <c r="B21" s="37" t="s">
        <v>29</v>
      </c>
      <c r="C21" s="7">
        <v>412306</v>
      </c>
      <c r="D21" s="23">
        <v>3000</v>
      </c>
      <c r="E21" s="9" t="s">
        <v>75</v>
      </c>
    </row>
    <row r="22" spans="1:5" ht="19.5">
      <c r="A22" s="50"/>
      <c r="B22" s="37" t="s">
        <v>30</v>
      </c>
      <c r="C22" s="7">
        <v>412307</v>
      </c>
      <c r="D22" s="23">
        <v>1000</v>
      </c>
      <c r="E22" s="9">
        <f>60+40</f>
        <v>100</v>
      </c>
    </row>
    <row r="23" spans="1:5" ht="19.5">
      <c r="A23" s="50"/>
      <c r="B23" s="37" t="s">
        <v>31</v>
      </c>
      <c r="C23" s="7">
        <v>412308</v>
      </c>
      <c r="D23" s="8">
        <v>1000</v>
      </c>
      <c r="E23" s="9">
        <f>225+295+235</f>
        <v>755</v>
      </c>
    </row>
    <row r="24" spans="1:5" ht="19.5">
      <c r="A24" s="53"/>
      <c r="B24" s="54" t="s">
        <v>32</v>
      </c>
      <c r="C24" s="18">
        <v>412399</v>
      </c>
      <c r="D24" s="19">
        <v>1000</v>
      </c>
      <c r="E24" s="9">
        <f>50+40</f>
        <v>90</v>
      </c>
    </row>
    <row r="25" spans="1:5" ht="20.25" thickBot="1">
      <c r="A25" s="53"/>
      <c r="B25" s="54" t="s">
        <v>33</v>
      </c>
      <c r="C25" s="18"/>
      <c r="D25" s="19" t="s">
        <v>75</v>
      </c>
      <c r="E25" s="24">
        <f>3510+8701</f>
        <v>12211</v>
      </c>
    </row>
    <row r="26" spans="1:5" ht="19.5" customHeight="1" thickBot="1">
      <c r="A26" s="174" t="s">
        <v>34</v>
      </c>
      <c r="B26" s="175"/>
      <c r="C26" s="10"/>
      <c r="D26" s="11">
        <f>SUM(D13:D25)</f>
        <v>312000</v>
      </c>
      <c r="E26" s="13">
        <f>SUM(E13:E25)</f>
        <v>93322.9</v>
      </c>
    </row>
    <row r="27" spans="1:5" ht="19.5">
      <c r="A27" s="184" t="s">
        <v>35</v>
      </c>
      <c r="B27" s="185"/>
      <c r="C27" s="14"/>
      <c r="D27" s="15"/>
      <c r="E27" s="16"/>
    </row>
    <row r="28" spans="1:5" ht="19.5">
      <c r="A28" s="53"/>
      <c r="B28" s="54" t="s">
        <v>36</v>
      </c>
      <c r="C28" s="18">
        <v>413003</v>
      </c>
      <c r="D28" s="19">
        <v>100000</v>
      </c>
      <c r="E28" s="9">
        <f>149136.78+3340.12</f>
        <v>152476.9</v>
      </c>
    </row>
    <row r="29" spans="1:5" ht="20.25" thickBot="1">
      <c r="A29" s="53"/>
      <c r="B29" s="54" t="s">
        <v>37</v>
      </c>
      <c r="C29" s="18">
        <v>413003</v>
      </c>
      <c r="D29" s="19" t="s">
        <v>75</v>
      </c>
      <c r="E29" s="9" t="s">
        <v>75</v>
      </c>
    </row>
    <row r="30" spans="1:5" ht="20.25" thickBot="1">
      <c r="A30" s="51"/>
      <c r="B30" s="57" t="s">
        <v>38</v>
      </c>
      <c r="C30" s="10"/>
      <c r="D30" s="12">
        <f>SUM(D28:D28)</f>
        <v>100000</v>
      </c>
      <c r="E30" s="13">
        <f>SUM(E28:E29)</f>
        <v>152476.9</v>
      </c>
    </row>
    <row r="31" spans="1:5" ht="18.75" customHeight="1">
      <c r="A31" s="181" t="s">
        <v>39</v>
      </c>
      <c r="B31" s="182"/>
      <c r="C31" s="14"/>
      <c r="D31" s="15"/>
      <c r="E31" s="17"/>
    </row>
    <row r="32" spans="1:5" ht="18.75" customHeight="1" thickBot="1">
      <c r="A32" s="53"/>
      <c r="B32" s="54" t="s">
        <v>10</v>
      </c>
      <c r="C32" s="18">
        <v>414006</v>
      </c>
      <c r="D32" s="24">
        <v>20000</v>
      </c>
      <c r="E32" s="9">
        <f>925+850+850</f>
        <v>2625</v>
      </c>
    </row>
    <row r="33" spans="1:5" ht="21.75" customHeight="1" thickBot="1">
      <c r="A33" s="186" t="s">
        <v>40</v>
      </c>
      <c r="B33" s="187"/>
      <c r="C33" s="25"/>
      <c r="D33" s="26">
        <f>SUM(D32:D32)</f>
        <v>20000</v>
      </c>
      <c r="E33" s="13">
        <f>SUM(E32)</f>
        <v>2625</v>
      </c>
    </row>
    <row r="34" spans="1:5" ht="18.75" customHeight="1">
      <c r="A34" s="179" t="s">
        <v>41</v>
      </c>
      <c r="B34" s="180"/>
      <c r="C34" s="5"/>
      <c r="D34" s="27"/>
      <c r="E34" s="29"/>
    </row>
    <row r="35" spans="1:5" ht="18.75" customHeight="1">
      <c r="A35" s="50"/>
      <c r="B35" s="37" t="s">
        <v>42</v>
      </c>
      <c r="C35" s="7">
        <v>415004</v>
      </c>
      <c r="D35" s="8">
        <v>100000</v>
      </c>
      <c r="E35" s="9">
        <v>7500</v>
      </c>
    </row>
    <row r="36" spans="1:5" ht="20.25" thickBot="1">
      <c r="A36" s="53"/>
      <c r="B36" s="54" t="s">
        <v>43</v>
      </c>
      <c r="C36" s="18">
        <v>415999</v>
      </c>
      <c r="D36" s="19" t="s">
        <v>75</v>
      </c>
      <c r="E36" s="9" t="s">
        <v>75</v>
      </c>
    </row>
    <row r="37" spans="1:5" ht="19.5" customHeight="1">
      <c r="A37" s="58"/>
      <c r="B37" s="59" t="s">
        <v>44</v>
      </c>
      <c r="C37" s="30"/>
      <c r="D37" s="31">
        <f>SUM(D35:D36)</f>
        <v>100000</v>
      </c>
      <c r="E37" s="42">
        <f>SUM(E35:E36)</f>
        <v>7500</v>
      </c>
    </row>
    <row r="38" spans="1:5" ht="19.5">
      <c r="A38" s="188" t="s">
        <v>45</v>
      </c>
      <c r="B38" s="189"/>
      <c r="C38" s="25"/>
      <c r="D38" s="33">
        <f>D11+D26+D30+D33+D37</f>
        <v>2752000</v>
      </c>
      <c r="E38" s="76">
        <f>E11+E26+E30+E33+E37</f>
        <v>2413543.75</v>
      </c>
    </row>
    <row r="39" spans="1:5" ht="19.5">
      <c r="A39" s="72"/>
      <c r="B39" s="72"/>
      <c r="C39" s="73"/>
      <c r="D39" s="74"/>
      <c r="E39" s="75"/>
    </row>
    <row r="40" spans="1:5" s="60" customFormat="1" ht="19.5">
      <c r="A40" s="72"/>
      <c r="B40" s="72"/>
      <c r="C40" s="73"/>
      <c r="D40" s="74"/>
      <c r="E40" s="75"/>
    </row>
    <row r="41" spans="1:5" s="60" customFormat="1" ht="19.5">
      <c r="A41" s="72"/>
      <c r="B41" s="72"/>
      <c r="C41" s="83"/>
      <c r="D41" s="74"/>
      <c r="E41" s="75"/>
    </row>
    <row r="42" spans="1:5" s="60" customFormat="1" ht="19.5" customHeight="1">
      <c r="A42" s="183" t="s">
        <v>73</v>
      </c>
      <c r="B42" s="183"/>
      <c r="C42" s="183"/>
      <c r="D42" s="183"/>
      <c r="E42" s="183"/>
    </row>
    <row r="43" spans="1:5" s="60" customFormat="1" ht="19.5">
      <c r="A43" s="183" t="s">
        <v>72</v>
      </c>
      <c r="B43" s="183"/>
      <c r="C43" s="183"/>
      <c r="D43" s="183"/>
      <c r="E43" s="183"/>
    </row>
    <row r="44" spans="1:5" s="60" customFormat="1" ht="19.5" customHeight="1">
      <c r="A44" s="183" t="s">
        <v>223</v>
      </c>
      <c r="B44" s="183"/>
      <c r="C44" s="183"/>
      <c r="D44" s="183"/>
      <c r="E44" s="183"/>
    </row>
    <row r="45" spans="1:5" s="60" customFormat="1" ht="19.5">
      <c r="A45" s="72"/>
      <c r="B45" s="72"/>
      <c r="C45" s="73"/>
      <c r="D45" s="74"/>
      <c r="E45" s="75"/>
    </row>
    <row r="46" spans="1:5" ht="19.5">
      <c r="A46" s="190" t="s">
        <v>13</v>
      </c>
      <c r="B46" s="190"/>
      <c r="C46" s="1" t="s">
        <v>6</v>
      </c>
      <c r="D46" s="1" t="s">
        <v>7</v>
      </c>
      <c r="E46" s="2" t="s">
        <v>74</v>
      </c>
    </row>
    <row r="47" spans="1:5" ht="18.75" customHeight="1">
      <c r="A47" s="194" t="s">
        <v>46</v>
      </c>
      <c r="B47" s="195"/>
      <c r="C47" s="5"/>
      <c r="D47" s="34"/>
      <c r="E47" s="34"/>
    </row>
    <row r="48" spans="1:5" ht="18.75" customHeight="1">
      <c r="A48" s="196" t="s">
        <v>47</v>
      </c>
      <c r="B48" s="197"/>
      <c r="C48" s="35"/>
      <c r="D48" s="36"/>
      <c r="E48" s="9"/>
    </row>
    <row r="49" spans="1:5" ht="18.75" customHeight="1">
      <c r="A49" s="50"/>
      <c r="B49" s="37" t="s">
        <v>48</v>
      </c>
      <c r="C49" s="7">
        <v>421001</v>
      </c>
      <c r="D49" s="8">
        <v>50000</v>
      </c>
      <c r="E49" s="9">
        <f>38636.72+31596.62+58181.11</f>
        <v>128414.45</v>
      </c>
    </row>
    <row r="50" spans="1:5" ht="18.75" customHeight="1">
      <c r="A50" s="50"/>
      <c r="B50" s="37" t="s">
        <v>49</v>
      </c>
      <c r="C50" s="7">
        <v>421002</v>
      </c>
      <c r="D50" s="8">
        <v>7000000</v>
      </c>
      <c r="E50" s="9">
        <f>714984.09+593218.51</f>
        <v>1308202.6</v>
      </c>
    </row>
    <row r="51" spans="1:5" ht="18.75" customHeight="1">
      <c r="A51" s="50"/>
      <c r="B51" s="37" t="s">
        <v>50</v>
      </c>
      <c r="C51" s="7">
        <v>421004</v>
      </c>
      <c r="D51" s="8">
        <v>1500000</v>
      </c>
      <c r="E51" s="9">
        <f>171747.32+195461.64+138670.99</f>
        <v>505879.95</v>
      </c>
    </row>
    <row r="52" spans="1:5" ht="18.75" customHeight="1">
      <c r="A52" s="50"/>
      <c r="B52" s="37" t="s">
        <v>51</v>
      </c>
      <c r="C52" s="7">
        <v>421005</v>
      </c>
      <c r="D52" s="8">
        <v>200000</v>
      </c>
      <c r="E52" s="9">
        <f>64820.36+14945.15</f>
        <v>79765.51</v>
      </c>
    </row>
    <row r="53" spans="1:5" ht="18.75" customHeight="1">
      <c r="A53" s="50"/>
      <c r="B53" s="37" t="s">
        <v>52</v>
      </c>
      <c r="C53" s="7">
        <v>421006</v>
      </c>
      <c r="D53" s="8">
        <v>600000</v>
      </c>
      <c r="E53" s="9" t="s">
        <v>75</v>
      </c>
    </row>
    <row r="54" spans="1:5" ht="18.75" customHeight="1">
      <c r="A54" s="50"/>
      <c r="B54" s="37" t="s">
        <v>53</v>
      </c>
      <c r="C54" s="7">
        <v>421007</v>
      </c>
      <c r="D54" s="8">
        <v>1500000</v>
      </c>
      <c r="E54" s="9">
        <f>264137.56+276873.99+269970.01</f>
        <v>810981.56</v>
      </c>
    </row>
    <row r="55" spans="1:5" ht="18.75" customHeight="1">
      <c r="A55" s="50"/>
      <c r="B55" s="37" t="s">
        <v>54</v>
      </c>
      <c r="C55" s="7">
        <v>421012</v>
      </c>
      <c r="D55" s="8">
        <v>50000</v>
      </c>
      <c r="E55" s="9">
        <v>8988.71</v>
      </c>
    </row>
    <row r="56" spans="1:5" ht="18.75" customHeight="1">
      <c r="A56" s="50"/>
      <c r="B56" s="37" t="s">
        <v>55</v>
      </c>
      <c r="C56" s="7">
        <v>421013</v>
      </c>
      <c r="D56" s="8">
        <v>30000</v>
      </c>
      <c r="E56" s="9">
        <v>7549.97</v>
      </c>
    </row>
    <row r="57" spans="1:5" ht="18.75" customHeight="1" thickBot="1">
      <c r="A57" s="53"/>
      <c r="B57" s="54" t="s">
        <v>56</v>
      </c>
      <c r="C57" s="18">
        <v>421015</v>
      </c>
      <c r="D57" s="19">
        <v>13818000</v>
      </c>
      <c r="E57" s="9">
        <f>370405+51846+464938</f>
        <v>887189</v>
      </c>
    </row>
    <row r="58" spans="1:14" ht="24" customHeight="1" thickBot="1">
      <c r="A58" s="51"/>
      <c r="B58" s="57" t="s">
        <v>57</v>
      </c>
      <c r="C58" s="10"/>
      <c r="D58" s="11">
        <f>SUM(D49:D57)</f>
        <v>24748000</v>
      </c>
      <c r="E58" s="13">
        <f>SUM(E49:E57)</f>
        <v>3736971.7500000005</v>
      </c>
      <c r="N58" s="60"/>
    </row>
    <row r="59" spans="1:14" ht="18.75" customHeight="1">
      <c r="A59" s="198" t="s">
        <v>9</v>
      </c>
      <c r="B59" s="199"/>
      <c r="C59" s="14"/>
      <c r="D59" s="15"/>
      <c r="E59" s="17"/>
      <c r="N59" s="60"/>
    </row>
    <row r="60" spans="1:14" ht="18.75" customHeight="1">
      <c r="A60" s="196" t="s">
        <v>58</v>
      </c>
      <c r="B60" s="197"/>
      <c r="C60" s="35"/>
      <c r="D60" s="36">
        <v>12500000</v>
      </c>
      <c r="E60" s="9"/>
      <c r="N60" s="60"/>
    </row>
    <row r="61" spans="1:14" ht="18.75" customHeight="1">
      <c r="A61" s="50"/>
      <c r="B61" s="37" t="s">
        <v>59</v>
      </c>
      <c r="C61" s="7">
        <v>431002</v>
      </c>
      <c r="D61" s="36"/>
      <c r="E61" s="9" t="s">
        <v>75</v>
      </c>
      <c r="N61" s="60"/>
    </row>
    <row r="62" spans="1:14" ht="18.75" customHeight="1">
      <c r="A62" s="50"/>
      <c r="B62" s="37" t="s">
        <v>60</v>
      </c>
      <c r="C62" s="7">
        <v>431002</v>
      </c>
      <c r="D62" s="8"/>
      <c r="E62" s="9">
        <v>193056</v>
      </c>
      <c r="N62" s="60"/>
    </row>
    <row r="63" spans="1:14" ht="18.75" customHeight="1">
      <c r="A63" s="50"/>
      <c r="B63" s="37" t="s">
        <v>61</v>
      </c>
      <c r="C63" s="7">
        <v>431002</v>
      </c>
      <c r="D63" s="8"/>
      <c r="E63" s="9">
        <v>408400</v>
      </c>
      <c r="N63" s="60"/>
    </row>
    <row r="64" spans="1:14" ht="18.75" customHeight="1">
      <c r="A64" s="50"/>
      <c r="B64" s="37" t="s">
        <v>66</v>
      </c>
      <c r="C64" s="7">
        <v>431002</v>
      </c>
      <c r="D64" s="8"/>
      <c r="E64" s="9" t="s">
        <v>75</v>
      </c>
      <c r="N64" s="60"/>
    </row>
    <row r="65" spans="1:14" ht="18.75" customHeight="1">
      <c r="A65" s="50"/>
      <c r="B65" s="37" t="s">
        <v>70</v>
      </c>
      <c r="C65" s="7">
        <v>431002</v>
      </c>
      <c r="D65" s="8"/>
      <c r="E65" s="9">
        <f>66000+64710</f>
        <v>130710</v>
      </c>
      <c r="N65" s="60"/>
    </row>
    <row r="66" spans="1:14" ht="18.75" customHeight="1">
      <c r="A66" s="50"/>
      <c r="B66" s="61" t="s">
        <v>62</v>
      </c>
      <c r="C66" s="7">
        <v>431002</v>
      </c>
      <c r="D66" s="8"/>
      <c r="E66" s="9" t="s">
        <v>75</v>
      </c>
      <c r="N66" s="62"/>
    </row>
    <row r="67" spans="1:14" ht="18.75" customHeight="1">
      <c r="A67" s="50"/>
      <c r="B67" s="61" t="s">
        <v>67</v>
      </c>
      <c r="C67" s="7">
        <v>431002</v>
      </c>
      <c r="D67" s="8"/>
      <c r="E67" s="9">
        <v>1073700</v>
      </c>
      <c r="N67" s="62"/>
    </row>
    <row r="68" spans="1:14" ht="18.75" customHeight="1">
      <c r="A68" s="50"/>
      <c r="B68" s="61" t="s">
        <v>71</v>
      </c>
      <c r="C68" s="7">
        <v>431002</v>
      </c>
      <c r="D68" s="8"/>
      <c r="E68" s="9">
        <v>247200</v>
      </c>
      <c r="N68" s="62"/>
    </row>
    <row r="69" spans="1:5" ht="18.75" customHeight="1">
      <c r="A69" s="50"/>
      <c r="B69" s="37" t="s">
        <v>63</v>
      </c>
      <c r="C69" s="7">
        <v>431002</v>
      </c>
      <c r="D69" s="8"/>
      <c r="E69" s="9">
        <v>19500</v>
      </c>
    </row>
    <row r="70" spans="1:5" ht="18.75" customHeight="1">
      <c r="A70" s="53"/>
      <c r="B70" s="54" t="s">
        <v>224</v>
      </c>
      <c r="C70" s="18">
        <v>441000</v>
      </c>
      <c r="D70" s="19"/>
      <c r="E70" s="24" t="s">
        <v>75</v>
      </c>
    </row>
    <row r="71" spans="1:5" ht="18.75" customHeight="1" thickBot="1">
      <c r="A71" s="53"/>
      <c r="B71" s="54" t="s">
        <v>225</v>
      </c>
      <c r="C71" s="18">
        <v>441000</v>
      </c>
      <c r="D71" s="19"/>
      <c r="E71" s="24">
        <v>17691</v>
      </c>
    </row>
    <row r="72" spans="1:5" ht="22.5" customHeight="1" thickBot="1">
      <c r="A72" s="51"/>
      <c r="B72" s="57" t="s">
        <v>64</v>
      </c>
      <c r="C72" s="10"/>
      <c r="D72" s="12">
        <f>SUM(D60:D69)</f>
        <v>12500000</v>
      </c>
      <c r="E72" s="13">
        <f>SUM(E60:E71)</f>
        <v>2090257</v>
      </c>
    </row>
    <row r="73" spans="1:5" ht="18.75" customHeight="1">
      <c r="A73" s="191" t="s">
        <v>65</v>
      </c>
      <c r="B73" s="192"/>
      <c r="C73" s="38"/>
      <c r="D73" s="34"/>
      <c r="E73" s="29"/>
    </row>
    <row r="74" spans="1:5" ht="18.75" customHeight="1">
      <c r="A74" s="191" t="s">
        <v>68</v>
      </c>
      <c r="B74" s="192"/>
      <c r="C74" s="7">
        <v>441000</v>
      </c>
      <c r="D74" s="28"/>
      <c r="E74" s="9"/>
    </row>
    <row r="75" spans="1:5" ht="18.75" customHeight="1">
      <c r="A75" s="63"/>
      <c r="B75" s="37"/>
      <c r="C75" s="7"/>
      <c r="D75" s="28"/>
      <c r="E75" s="9"/>
    </row>
    <row r="76" spans="1:5" ht="18.75" customHeight="1">
      <c r="A76" s="63"/>
      <c r="B76" s="37"/>
      <c r="C76" s="7"/>
      <c r="D76" s="28"/>
      <c r="E76" s="9"/>
    </row>
    <row r="77" spans="1:5" ht="18.75" customHeight="1">
      <c r="A77" s="63"/>
      <c r="B77" s="37"/>
      <c r="C77" s="7"/>
      <c r="D77" s="28"/>
      <c r="E77" s="9"/>
    </row>
    <row r="78" spans="1:5" ht="18.75" customHeight="1">
      <c r="A78" s="63"/>
      <c r="B78" s="37"/>
      <c r="C78" s="7"/>
      <c r="D78" s="28"/>
      <c r="E78" s="9"/>
    </row>
    <row r="79" spans="1:5" ht="18.75" customHeight="1" thickBot="1">
      <c r="A79" s="64"/>
      <c r="B79" s="65"/>
      <c r="C79" s="7"/>
      <c r="D79" s="39"/>
      <c r="E79" s="9"/>
    </row>
    <row r="80" spans="1:5" ht="23.25" customHeight="1" thickBot="1">
      <c r="A80" s="174" t="s">
        <v>69</v>
      </c>
      <c r="B80" s="175"/>
      <c r="C80" s="10"/>
      <c r="D80" s="12">
        <f>SUM(D74:D79)</f>
        <v>0</v>
      </c>
      <c r="E80" s="13">
        <f>SUM(E75:E79)</f>
        <v>0</v>
      </c>
    </row>
    <row r="81" spans="1:5" ht="24.75" customHeight="1" thickBot="1">
      <c r="A81" s="191"/>
      <c r="B81" s="192"/>
      <c r="C81" s="40"/>
      <c r="D81" s="12"/>
      <c r="E81" s="13"/>
    </row>
    <row r="82" spans="1:5" ht="18.75" customHeight="1" thickBot="1">
      <c r="A82" s="66"/>
      <c r="B82" s="67"/>
      <c r="C82" s="40"/>
      <c r="D82" s="12"/>
      <c r="E82" s="13"/>
    </row>
    <row r="83" spans="1:5" ht="18.75" customHeight="1">
      <c r="A83" s="68"/>
      <c r="B83" s="69"/>
      <c r="C83" s="41"/>
      <c r="D83" s="32"/>
      <c r="E83" s="42"/>
    </row>
    <row r="84" spans="1:5" ht="28.5" customHeight="1" thickBot="1">
      <c r="A84" s="177" t="s">
        <v>11</v>
      </c>
      <c r="B84" s="193"/>
      <c r="C84" s="178"/>
      <c r="D84" s="77">
        <f>D38+D58+D72+D80</f>
        <v>40000000</v>
      </c>
      <c r="E84" s="78">
        <f>E38+E58+E72</f>
        <v>8240772.5</v>
      </c>
    </row>
    <row r="85" ht="20.25" thickTop="1"/>
  </sheetData>
  <sheetProtection/>
  <mergeCells count="25">
    <mergeCell ref="A80:B80"/>
    <mergeCell ref="A81:B81"/>
    <mergeCell ref="A84:C84"/>
    <mergeCell ref="A47:B47"/>
    <mergeCell ref="A48:B48"/>
    <mergeCell ref="A59:B59"/>
    <mergeCell ref="A60:B60"/>
    <mergeCell ref="A73:B73"/>
    <mergeCell ref="A74:B74"/>
    <mergeCell ref="A27:B27"/>
    <mergeCell ref="A31:B31"/>
    <mergeCell ref="A33:B33"/>
    <mergeCell ref="A34:B34"/>
    <mergeCell ref="A38:B38"/>
    <mergeCell ref="A46:B46"/>
    <mergeCell ref="A42:E42"/>
    <mergeCell ref="A43:E43"/>
    <mergeCell ref="A44:E44"/>
    <mergeCell ref="A26:B26"/>
    <mergeCell ref="A1:E1"/>
    <mergeCell ref="A2:E2"/>
    <mergeCell ref="A5:B5"/>
    <mergeCell ref="A7:B7"/>
    <mergeCell ref="A12:B12"/>
    <mergeCell ref="A3:E3"/>
  </mergeCells>
  <printOptions verticalCentered="1"/>
  <pageMargins left="0.7874015748031497" right="0.5905511811023623" top="0" bottom="0.0393700787401574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55"/>
  <sheetViews>
    <sheetView tabSelected="1" view="pageBreakPreview" zoomScaleSheetLayoutView="100" zoomScalePageLayoutView="0" workbookViewId="0" topLeftCell="A702">
      <selection activeCell="A710" sqref="A710"/>
    </sheetView>
  </sheetViews>
  <sheetFormatPr defaultColWidth="9.140625" defaultRowHeight="12.75"/>
  <cols>
    <col min="1" max="1" width="52.28125" style="87" customWidth="1"/>
    <col min="2" max="2" width="15.57421875" style="87" customWidth="1"/>
    <col min="3" max="3" width="15.140625" style="87" customWidth="1"/>
    <col min="4" max="4" width="14.7109375" style="87" customWidth="1"/>
    <col min="5" max="5" width="14.00390625" style="87" customWidth="1"/>
    <col min="6" max="16384" width="9.140625" style="87" customWidth="1"/>
  </cols>
  <sheetData>
    <row r="1" spans="1:5" ht="23.25" customHeight="1">
      <c r="A1" s="200" t="s">
        <v>73</v>
      </c>
      <c r="B1" s="200"/>
      <c r="C1" s="200"/>
      <c r="D1" s="200"/>
      <c r="E1" s="200"/>
    </row>
    <row r="2" spans="1:5" ht="23.25" customHeight="1">
      <c r="A2" s="200" t="s">
        <v>197</v>
      </c>
      <c r="B2" s="200"/>
      <c r="C2" s="200"/>
      <c r="D2" s="200"/>
      <c r="E2" s="200"/>
    </row>
    <row r="3" spans="1:5" ht="23.25" customHeight="1">
      <c r="A3" s="201" t="s">
        <v>274</v>
      </c>
      <c r="B3" s="201"/>
      <c r="C3" s="201"/>
      <c r="D3" s="201"/>
      <c r="E3" s="86" t="s">
        <v>222</v>
      </c>
    </row>
    <row r="4" spans="1:5" ht="21" customHeight="1">
      <c r="A4" s="88"/>
      <c r="B4" s="88"/>
      <c r="C4" s="88"/>
      <c r="D4" s="88"/>
      <c r="E4" s="88"/>
    </row>
    <row r="5" spans="1:5" ht="24">
      <c r="A5" s="89" t="s">
        <v>0</v>
      </c>
      <c r="B5" s="89" t="s">
        <v>7</v>
      </c>
      <c r="C5" s="89" t="s">
        <v>8</v>
      </c>
      <c r="D5" s="89" t="s">
        <v>187</v>
      </c>
      <c r="E5" s="89" t="s">
        <v>12</v>
      </c>
    </row>
    <row r="6" spans="1:5" ht="23.25" customHeight="1">
      <c r="A6" s="90" t="s">
        <v>76</v>
      </c>
      <c r="B6" s="91">
        <v>725760</v>
      </c>
      <c r="C6" s="91">
        <f>B6-173880-173880</f>
        <v>378000</v>
      </c>
      <c r="D6" s="91">
        <f>57960+57960+57960</f>
        <v>173880</v>
      </c>
      <c r="E6" s="123">
        <f>C6-D6</f>
        <v>204120</v>
      </c>
    </row>
    <row r="7" spans="1:5" ht="23.25" customHeight="1">
      <c r="A7" s="92" t="s">
        <v>77</v>
      </c>
      <c r="B7" s="93">
        <v>180000</v>
      </c>
      <c r="C7" s="93">
        <f>B7-30000-30000</f>
        <v>120000</v>
      </c>
      <c r="D7" s="93">
        <v>30000</v>
      </c>
      <c r="E7" s="93">
        <f>C7-D7</f>
        <v>90000</v>
      </c>
    </row>
    <row r="8" spans="1:5" ht="23.25" customHeight="1">
      <c r="A8" s="92" t="s">
        <v>276</v>
      </c>
      <c r="B8" s="93">
        <v>180000</v>
      </c>
      <c r="C8" s="93">
        <v>120000</v>
      </c>
      <c r="D8" s="93">
        <v>30000</v>
      </c>
      <c r="E8" s="93">
        <f>C8-D8</f>
        <v>90000</v>
      </c>
    </row>
    <row r="9" spans="1:5" ht="23.25" customHeight="1">
      <c r="A9" s="92" t="s">
        <v>78</v>
      </c>
      <c r="B9" s="93">
        <v>207360</v>
      </c>
      <c r="C9" s="93">
        <f>B9-49680-49680</f>
        <v>108000</v>
      </c>
      <c r="D9" s="93">
        <f>16560+16560+16560</f>
        <v>49680</v>
      </c>
      <c r="E9" s="97">
        <f>C9-D9</f>
        <v>58320</v>
      </c>
    </row>
    <row r="10" spans="1:5" ht="23.25" customHeight="1">
      <c r="A10" s="92" t="s">
        <v>190</v>
      </c>
      <c r="B10" s="93">
        <v>1555200</v>
      </c>
      <c r="C10" s="93">
        <f>B10-372600-372600</f>
        <v>810000</v>
      </c>
      <c r="D10" s="93">
        <f>124200+124200+124200</f>
        <v>372600</v>
      </c>
      <c r="E10" s="123">
        <f>C10-D10</f>
        <v>437400</v>
      </c>
    </row>
    <row r="11" spans="1:5" ht="23.25" customHeight="1" thickBot="1">
      <c r="A11" s="94" t="s">
        <v>188</v>
      </c>
      <c r="B11" s="95">
        <f>SUM(B6:B10)</f>
        <v>2848320</v>
      </c>
      <c r="C11" s="95">
        <f>SUM(C6:C10)</f>
        <v>1536000</v>
      </c>
      <c r="D11" s="95">
        <f>SUM(D6:D10)</f>
        <v>656160</v>
      </c>
      <c r="E11" s="95">
        <f>SUM(E6:E10)</f>
        <v>879840</v>
      </c>
    </row>
    <row r="12" spans="1:5" ht="23.25" customHeight="1" thickTop="1">
      <c r="A12" s="96" t="s">
        <v>79</v>
      </c>
      <c r="B12" s="97">
        <v>3834780</v>
      </c>
      <c r="C12" s="97">
        <f>B12-653910-730320</f>
        <v>2450550</v>
      </c>
      <c r="D12" s="97">
        <v>749580</v>
      </c>
      <c r="E12" s="97">
        <f aca="true" t="shared" si="0" ref="E12:E17">C12-D12</f>
        <v>1700970</v>
      </c>
    </row>
    <row r="13" spans="1:5" ht="23.25" customHeight="1">
      <c r="A13" s="92" t="s">
        <v>80</v>
      </c>
      <c r="B13" s="93">
        <v>162000</v>
      </c>
      <c r="C13" s="93">
        <f>B13-30000-30000</f>
        <v>102000</v>
      </c>
      <c r="D13" s="93">
        <v>30000</v>
      </c>
      <c r="E13" s="97">
        <f t="shared" si="0"/>
        <v>72000</v>
      </c>
    </row>
    <row r="14" spans="1:5" ht="23.25" customHeight="1">
      <c r="A14" s="92" t="s">
        <v>81</v>
      </c>
      <c r="B14" s="93">
        <v>199800</v>
      </c>
      <c r="C14" s="93">
        <f>B14-49020-49020</f>
        <v>101760</v>
      </c>
      <c r="D14" s="93">
        <v>49950</v>
      </c>
      <c r="E14" s="97">
        <f t="shared" si="0"/>
        <v>51810</v>
      </c>
    </row>
    <row r="15" spans="1:5" ht="23.25" customHeight="1">
      <c r="A15" s="92" t="s">
        <v>82</v>
      </c>
      <c r="B15" s="93">
        <v>690360</v>
      </c>
      <c r="C15" s="93">
        <f>B15-105820-125032</f>
        <v>459508</v>
      </c>
      <c r="D15" s="93">
        <v>151067</v>
      </c>
      <c r="E15" s="97">
        <f t="shared" si="0"/>
        <v>308441</v>
      </c>
    </row>
    <row r="16" spans="1:5" ht="23.25" customHeight="1">
      <c r="A16" s="92" t="s">
        <v>83</v>
      </c>
      <c r="B16" s="93">
        <v>52260</v>
      </c>
      <c r="C16" s="93">
        <f>B16-10750-9000</f>
        <v>32510</v>
      </c>
      <c r="D16" s="93">
        <v>14333</v>
      </c>
      <c r="E16" s="97">
        <f t="shared" si="0"/>
        <v>18177</v>
      </c>
    </row>
    <row r="17" spans="1:5" ht="23.25" customHeight="1">
      <c r="A17" s="92" t="s">
        <v>84</v>
      </c>
      <c r="B17" s="93">
        <v>86000</v>
      </c>
      <c r="C17" s="93">
        <f>B17-21000-21000</f>
        <v>44000</v>
      </c>
      <c r="D17" s="93">
        <v>21000</v>
      </c>
      <c r="E17" s="97">
        <f t="shared" si="0"/>
        <v>23000</v>
      </c>
    </row>
    <row r="18" spans="1:5" ht="23.25" customHeight="1" thickBot="1">
      <c r="A18" s="94" t="s">
        <v>189</v>
      </c>
      <c r="B18" s="95">
        <f>SUM(B12:B17)</f>
        <v>5025200</v>
      </c>
      <c r="C18" s="95">
        <f>SUM(C12:C17)</f>
        <v>3190328</v>
      </c>
      <c r="D18" s="95">
        <f>SUM(D12:D17)</f>
        <v>1015930</v>
      </c>
      <c r="E18" s="95">
        <f>SUM(E12:E17)</f>
        <v>2174398</v>
      </c>
    </row>
    <row r="19" spans="1:5" ht="24.75" thickTop="1">
      <c r="A19" s="98" t="s">
        <v>1</v>
      </c>
      <c r="B19" s="99"/>
      <c r="C19" s="99"/>
      <c r="D19" s="99"/>
      <c r="E19" s="99"/>
    </row>
    <row r="20" spans="1:5" ht="24" customHeight="1">
      <c r="A20" s="92" t="s">
        <v>85</v>
      </c>
      <c r="B20" s="93">
        <v>50000</v>
      </c>
      <c r="C20" s="93">
        <f>B20-13800</f>
        <v>36200</v>
      </c>
      <c r="D20" s="93">
        <v>16200</v>
      </c>
      <c r="E20" s="93">
        <f>C20-D20</f>
        <v>20000</v>
      </c>
    </row>
    <row r="21" spans="1:5" ht="24" customHeight="1">
      <c r="A21" s="92" t="s">
        <v>86</v>
      </c>
      <c r="B21" s="93">
        <v>531000</v>
      </c>
      <c r="C21" s="93">
        <v>531000</v>
      </c>
      <c r="D21" s="93">
        <v>0</v>
      </c>
      <c r="E21" s="93">
        <f>C21-D21</f>
        <v>531000</v>
      </c>
    </row>
    <row r="22" spans="1:5" ht="23.25" customHeight="1">
      <c r="A22" s="92" t="s">
        <v>277</v>
      </c>
      <c r="B22" s="93">
        <v>10000</v>
      </c>
      <c r="C22" s="93">
        <v>10000</v>
      </c>
      <c r="D22" s="93">
        <v>0</v>
      </c>
      <c r="E22" s="93">
        <f>C22-D22</f>
        <v>10000</v>
      </c>
    </row>
    <row r="23" spans="1:5" ht="23.25" customHeight="1">
      <c r="A23" s="92" t="s">
        <v>87</v>
      </c>
      <c r="B23" s="93">
        <v>70000</v>
      </c>
      <c r="C23" s="93">
        <f>B23-8224-11000</f>
        <v>50776</v>
      </c>
      <c r="D23" s="93">
        <v>11626</v>
      </c>
      <c r="E23" s="93">
        <f>C23-D23</f>
        <v>39150</v>
      </c>
    </row>
    <row r="24" spans="1:5" ht="23.25" customHeight="1" thickBot="1">
      <c r="A24" s="100" t="s">
        <v>191</v>
      </c>
      <c r="B24" s="95">
        <f>SUM(B20:B23)</f>
        <v>661000</v>
      </c>
      <c r="C24" s="95">
        <f>SUM(C20:C23)</f>
        <v>627976</v>
      </c>
      <c r="D24" s="95">
        <f>SUM(D20:D23)</f>
        <v>27826</v>
      </c>
      <c r="E24" s="95">
        <f>SUM(E20:E23)</f>
        <v>600150</v>
      </c>
    </row>
    <row r="25" spans="1:5" ht="24.75" thickTop="1">
      <c r="A25" s="101" t="s">
        <v>2</v>
      </c>
      <c r="B25" s="99"/>
      <c r="C25" s="99"/>
      <c r="D25" s="99"/>
      <c r="E25" s="99"/>
    </row>
    <row r="26" spans="1:5" ht="23.25" customHeight="1">
      <c r="A26" s="92" t="s">
        <v>88</v>
      </c>
      <c r="B26" s="93">
        <v>200000</v>
      </c>
      <c r="C26" s="93">
        <f>B26-25400-27000</f>
        <v>147600</v>
      </c>
      <c r="D26" s="93">
        <v>27000</v>
      </c>
      <c r="E26" s="93">
        <f>C26-D26</f>
        <v>120600</v>
      </c>
    </row>
    <row r="27" spans="1:5" ht="23.25" customHeight="1">
      <c r="A27" s="92" t="s">
        <v>89</v>
      </c>
      <c r="B27" s="93">
        <v>30000</v>
      </c>
      <c r="C27" s="93">
        <f>B27-3600</f>
        <v>26400</v>
      </c>
      <c r="D27" s="93">
        <v>3600</v>
      </c>
      <c r="E27" s="93">
        <f aca="true" t="shared" si="1" ref="E27:E35">C27-D27</f>
        <v>22800</v>
      </c>
    </row>
    <row r="28" spans="1:5" ht="23.25" customHeight="1">
      <c r="A28" s="92" t="s">
        <v>90</v>
      </c>
      <c r="B28" s="93">
        <v>30000</v>
      </c>
      <c r="C28" s="93">
        <v>30000</v>
      </c>
      <c r="D28" s="93">
        <v>0</v>
      </c>
      <c r="E28" s="93">
        <f t="shared" si="1"/>
        <v>30000</v>
      </c>
    </row>
    <row r="29" spans="1:5" ht="23.25" customHeight="1">
      <c r="A29" s="92" t="s">
        <v>91</v>
      </c>
      <c r="B29" s="93">
        <v>12000</v>
      </c>
      <c r="C29" s="93">
        <f>B29-2000-3000</f>
        <v>7000</v>
      </c>
      <c r="D29" s="93">
        <v>3000</v>
      </c>
      <c r="E29" s="93">
        <f t="shared" si="1"/>
        <v>4000</v>
      </c>
    </row>
    <row r="30" spans="1:5" ht="23.25" customHeight="1">
      <c r="A30" s="92" t="s">
        <v>92</v>
      </c>
      <c r="B30" s="93">
        <v>120000</v>
      </c>
      <c r="C30" s="93">
        <v>120000</v>
      </c>
      <c r="D30" s="93">
        <v>2534</v>
      </c>
      <c r="E30" s="93">
        <f t="shared" si="1"/>
        <v>117466</v>
      </c>
    </row>
    <row r="31" spans="1:5" ht="23.25" customHeight="1">
      <c r="A31" s="92" t="s">
        <v>93</v>
      </c>
      <c r="B31" s="93">
        <v>350000</v>
      </c>
      <c r="C31" s="93">
        <f>B31-3900</f>
        <v>346100</v>
      </c>
      <c r="D31" s="93">
        <v>11700</v>
      </c>
      <c r="E31" s="93">
        <f t="shared" si="1"/>
        <v>334400</v>
      </c>
    </row>
    <row r="32" spans="1:5" ht="23.25" customHeight="1">
      <c r="A32" s="92" t="s">
        <v>94</v>
      </c>
      <c r="B32" s="93">
        <v>30000</v>
      </c>
      <c r="C32" s="93">
        <f>B32-5420</f>
        <v>24580</v>
      </c>
      <c r="D32" s="93">
        <v>0</v>
      </c>
      <c r="E32" s="93">
        <f t="shared" si="1"/>
        <v>24580</v>
      </c>
    </row>
    <row r="33" spans="1:5" ht="23.25" customHeight="1">
      <c r="A33" s="92" t="s">
        <v>95</v>
      </c>
      <c r="B33" s="93">
        <v>10000</v>
      </c>
      <c r="C33" s="93">
        <v>10000</v>
      </c>
      <c r="D33" s="93">
        <v>0</v>
      </c>
      <c r="E33" s="93">
        <f t="shared" si="1"/>
        <v>10000</v>
      </c>
    </row>
    <row r="34" spans="1:5" ht="23.25" customHeight="1">
      <c r="A34" s="92" t="s">
        <v>96</v>
      </c>
      <c r="B34" s="93">
        <v>3000</v>
      </c>
      <c r="C34" s="93">
        <v>0</v>
      </c>
      <c r="D34" s="93">
        <v>0</v>
      </c>
      <c r="E34" s="93">
        <v>0</v>
      </c>
    </row>
    <row r="35" spans="1:5" ht="23.25" customHeight="1">
      <c r="A35" s="102" t="s">
        <v>97</v>
      </c>
      <c r="B35" s="103">
        <v>50000</v>
      </c>
      <c r="C35" s="103">
        <v>50000</v>
      </c>
      <c r="D35" s="103">
        <v>0</v>
      </c>
      <c r="E35" s="103">
        <f t="shared" si="1"/>
        <v>50000</v>
      </c>
    </row>
    <row r="36" spans="1:5" ht="23.25" customHeight="1">
      <c r="A36" s="104"/>
      <c r="B36" s="105"/>
      <c r="C36" s="105"/>
      <c r="D36" s="105"/>
      <c r="E36" s="106"/>
    </row>
    <row r="37" spans="1:5" ht="23.25" customHeight="1">
      <c r="A37" s="200" t="s">
        <v>73</v>
      </c>
      <c r="B37" s="200"/>
      <c r="C37" s="200"/>
      <c r="D37" s="200"/>
      <c r="E37" s="200"/>
    </row>
    <row r="38" spans="1:5" ht="21" customHeight="1">
      <c r="A38" s="200" t="s">
        <v>197</v>
      </c>
      <c r="B38" s="200"/>
      <c r="C38" s="200"/>
      <c r="D38" s="200"/>
      <c r="E38" s="200"/>
    </row>
    <row r="39" spans="1:5" ht="21" customHeight="1">
      <c r="A39" s="201" t="s">
        <v>274</v>
      </c>
      <c r="B39" s="201"/>
      <c r="C39" s="201"/>
      <c r="D39" s="201"/>
      <c r="E39" s="86" t="s">
        <v>222</v>
      </c>
    </row>
    <row r="40" spans="1:5" ht="23.25" customHeight="1">
      <c r="A40" s="89" t="s">
        <v>0</v>
      </c>
      <c r="B40" s="89" t="s">
        <v>7</v>
      </c>
      <c r="C40" s="89" t="s">
        <v>289</v>
      </c>
      <c r="D40" s="89" t="s">
        <v>187</v>
      </c>
      <c r="E40" s="89" t="s">
        <v>12</v>
      </c>
    </row>
    <row r="41" spans="1:5" ht="23.25" customHeight="1">
      <c r="A41" s="90" t="s">
        <v>98</v>
      </c>
      <c r="B41" s="91">
        <v>5000</v>
      </c>
      <c r="C41" s="91">
        <v>5000</v>
      </c>
      <c r="D41" s="91">
        <v>0</v>
      </c>
      <c r="E41" s="93">
        <f>C41-D41</f>
        <v>5000</v>
      </c>
    </row>
    <row r="42" spans="1:5" ht="24">
      <c r="A42" s="92" t="s">
        <v>226</v>
      </c>
      <c r="B42" s="93">
        <v>0</v>
      </c>
      <c r="C42" s="93">
        <v>0</v>
      </c>
      <c r="D42" s="93">
        <v>0</v>
      </c>
      <c r="E42" s="93">
        <f>C42-D42</f>
        <v>0</v>
      </c>
    </row>
    <row r="43" spans="1:5" ht="23.25" customHeight="1">
      <c r="A43" s="92" t="s">
        <v>99</v>
      </c>
      <c r="B43" s="93">
        <v>100000</v>
      </c>
      <c r="C43" s="93">
        <f>B43-15436.89-12550</f>
        <v>72013.11</v>
      </c>
      <c r="D43" s="93">
        <v>10814.52</v>
      </c>
      <c r="E43" s="93">
        <f>C43-D43</f>
        <v>61198.59</v>
      </c>
    </row>
    <row r="44" spans="1:5" ht="23.25" customHeight="1">
      <c r="A44" s="92" t="s">
        <v>100</v>
      </c>
      <c r="B44" s="93">
        <v>165500</v>
      </c>
      <c r="C44" s="93">
        <v>165500</v>
      </c>
      <c r="D44" s="93">
        <v>12603.53</v>
      </c>
      <c r="E44" s="93">
        <f>C44-D44</f>
        <v>152896.47</v>
      </c>
    </row>
    <row r="45" spans="1:5" ht="23.25" customHeight="1" thickBot="1">
      <c r="A45" s="94" t="s">
        <v>192</v>
      </c>
      <c r="B45" s="95">
        <f>B26+B27+B28+B29+B30+B31+B32+B33+B34+B35+B41+B42+B43+B44</f>
        <v>1105500</v>
      </c>
      <c r="C45" s="95">
        <f>C26+C27+C28+C29+C30+C31+C32+C33+C34+C35+C41+C42+C43+C44</f>
        <v>1004193.11</v>
      </c>
      <c r="D45" s="95">
        <f>D26+D27+D28+D29+D30+D31+D32+D33+D34+D35+D41+D42+D43+D44</f>
        <v>71252.05</v>
      </c>
      <c r="E45" s="95">
        <f>E26+E27+E28+E29+E30+E31+E32+E33+E34+E35+E41+E42+E43+E44</f>
        <v>932941.0599999999</v>
      </c>
    </row>
    <row r="46" spans="1:5" ht="23.25" customHeight="1" thickTop="1">
      <c r="A46" s="98" t="s">
        <v>3</v>
      </c>
      <c r="B46" s="99"/>
      <c r="C46" s="99"/>
      <c r="D46" s="99"/>
      <c r="E46" s="99"/>
    </row>
    <row r="47" spans="1:5" ht="23.25" customHeight="1">
      <c r="A47" s="92" t="s">
        <v>101</v>
      </c>
      <c r="B47" s="93">
        <v>140000</v>
      </c>
      <c r="C47" s="93">
        <f>B47-4900</f>
        <v>135100</v>
      </c>
      <c r="D47" s="93">
        <v>4900</v>
      </c>
      <c r="E47" s="93">
        <f aca="true" t="shared" si="2" ref="E47:E52">C47-D47</f>
        <v>130200</v>
      </c>
    </row>
    <row r="48" spans="1:5" ht="23.25" customHeight="1">
      <c r="A48" s="92" t="s">
        <v>102</v>
      </c>
      <c r="B48" s="93">
        <v>12000</v>
      </c>
      <c r="C48" s="93">
        <v>12000</v>
      </c>
      <c r="D48" s="93">
        <v>0</v>
      </c>
      <c r="E48" s="93">
        <f t="shared" si="2"/>
        <v>12000</v>
      </c>
    </row>
    <row r="49" spans="1:5" ht="23.25" customHeight="1">
      <c r="A49" s="92" t="s">
        <v>278</v>
      </c>
      <c r="B49" s="93">
        <v>50000</v>
      </c>
      <c r="C49" s="93">
        <v>50000</v>
      </c>
      <c r="D49" s="93">
        <v>0</v>
      </c>
      <c r="E49" s="93">
        <f t="shared" si="2"/>
        <v>50000</v>
      </c>
    </row>
    <row r="50" spans="1:5" ht="23.25" customHeight="1">
      <c r="A50" s="92" t="s">
        <v>103</v>
      </c>
      <c r="B50" s="93">
        <v>5000</v>
      </c>
      <c r="C50" s="93">
        <v>5000</v>
      </c>
      <c r="D50" s="93">
        <v>0</v>
      </c>
      <c r="E50" s="93">
        <f t="shared" si="2"/>
        <v>5000</v>
      </c>
    </row>
    <row r="51" spans="1:5" ht="24">
      <c r="A51" s="92" t="s">
        <v>279</v>
      </c>
      <c r="B51" s="93">
        <v>280000</v>
      </c>
      <c r="C51" s="93">
        <f>B51-43440-68240</f>
        <v>168320</v>
      </c>
      <c r="D51" s="93">
        <v>71250</v>
      </c>
      <c r="E51" s="93">
        <f t="shared" si="2"/>
        <v>97070</v>
      </c>
    </row>
    <row r="52" spans="1:5" ht="23.25" customHeight="1">
      <c r="A52" s="92" t="s">
        <v>104</v>
      </c>
      <c r="B52" s="93">
        <v>100000</v>
      </c>
      <c r="C52" s="93">
        <f>B52-19660-5580</f>
        <v>74760</v>
      </c>
      <c r="D52" s="93">
        <v>13810</v>
      </c>
      <c r="E52" s="93">
        <f t="shared" si="2"/>
        <v>60950</v>
      </c>
    </row>
    <row r="53" spans="1:5" ht="23.25" customHeight="1" thickBot="1">
      <c r="A53" s="94" t="s">
        <v>193</v>
      </c>
      <c r="B53" s="95">
        <f>SUM(B47:B52)</f>
        <v>587000</v>
      </c>
      <c r="C53" s="95">
        <f>SUM(C47:C52)</f>
        <v>445180</v>
      </c>
      <c r="D53" s="95">
        <f>SUM(D47:D52)</f>
        <v>89960</v>
      </c>
      <c r="E53" s="95">
        <f>SUM(E47:E52)</f>
        <v>355220</v>
      </c>
    </row>
    <row r="54" spans="1:5" ht="23.25" customHeight="1" thickTop="1">
      <c r="A54" s="101" t="s">
        <v>4</v>
      </c>
      <c r="B54" s="99"/>
      <c r="C54" s="99"/>
      <c r="D54" s="99"/>
      <c r="E54" s="99"/>
    </row>
    <row r="55" spans="1:5" ht="23.25" customHeight="1">
      <c r="A55" s="92" t="s">
        <v>105</v>
      </c>
      <c r="B55" s="93">
        <v>510000</v>
      </c>
      <c r="C55" s="93">
        <f>B55-272791.58-53070.09</f>
        <v>184138.33</v>
      </c>
      <c r="D55" s="93">
        <v>44945.1</v>
      </c>
      <c r="E55" s="93">
        <f>C55-D55</f>
        <v>139193.22999999998</v>
      </c>
    </row>
    <row r="56" spans="1:5" ht="24">
      <c r="A56" s="92" t="s">
        <v>106</v>
      </c>
      <c r="B56" s="93">
        <v>50000</v>
      </c>
      <c r="C56" s="93">
        <f>B56-1274.37-3000.82</f>
        <v>45724.81</v>
      </c>
      <c r="D56" s="93">
        <v>1026.13</v>
      </c>
      <c r="E56" s="93">
        <f>C56-D56</f>
        <v>44698.68</v>
      </c>
    </row>
    <row r="57" spans="1:5" ht="24">
      <c r="A57" s="92" t="s">
        <v>280</v>
      </c>
      <c r="B57" s="93">
        <v>20000</v>
      </c>
      <c r="C57" s="93">
        <v>16261.42</v>
      </c>
      <c r="D57" s="93">
        <v>1445.47</v>
      </c>
      <c r="E57" s="93">
        <f>C57-D57</f>
        <v>14815.95</v>
      </c>
    </row>
    <row r="58" spans="1:5" ht="23.25" customHeight="1">
      <c r="A58" s="92" t="s">
        <v>107</v>
      </c>
      <c r="B58" s="93">
        <v>10000</v>
      </c>
      <c r="C58" s="93">
        <f>B58-517</f>
        <v>9483</v>
      </c>
      <c r="D58" s="93">
        <v>0</v>
      </c>
      <c r="E58" s="93">
        <f>C58-D58</f>
        <v>9483</v>
      </c>
    </row>
    <row r="59" spans="1:5" ht="23.25" customHeight="1">
      <c r="A59" s="92" t="s">
        <v>108</v>
      </c>
      <c r="B59" s="93">
        <v>22340</v>
      </c>
      <c r="C59" s="93">
        <f>B59-5103.9-5103.9</f>
        <v>12132.199999999999</v>
      </c>
      <c r="D59" s="93">
        <v>5103.9</v>
      </c>
      <c r="E59" s="93">
        <f>C59-D59</f>
        <v>7028.299999999999</v>
      </c>
    </row>
    <row r="60" spans="1:5" ht="23.25" customHeight="1" thickBot="1">
      <c r="A60" s="100" t="s">
        <v>194</v>
      </c>
      <c r="B60" s="95">
        <f>SUM(B55:B59)</f>
        <v>612340</v>
      </c>
      <c r="C60" s="95">
        <f>SUM(C55:C59)</f>
        <v>267739.76</v>
      </c>
      <c r="D60" s="95">
        <f>SUM(D55:D59)</f>
        <v>52520.6</v>
      </c>
      <c r="E60" s="95">
        <f>SUM(E55:E59)</f>
        <v>215219.15999999997</v>
      </c>
    </row>
    <row r="61" spans="1:5" ht="23.25" customHeight="1" thickTop="1">
      <c r="A61" s="107" t="s">
        <v>109</v>
      </c>
      <c r="B61" s="108"/>
      <c r="C61" s="108"/>
      <c r="D61" s="108"/>
      <c r="E61" s="109"/>
    </row>
    <row r="62" spans="1:5" ht="23.25" customHeight="1">
      <c r="A62" s="107" t="s">
        <v>227</v>
      </c>
      <c r="B62" s="107"/>
      <c r="C62" s="107"/>
      <c r="D62" s="107"/>
      <c r="E62" s="110"/>
    </row>
    <row r="63" spans="1:5" ht="23.25" customHeight="1">
      <c r="A63" s="111" t="s">
        <v>228</v>
      </c>
      <c r="B63" s="112">
        <v>22500</v>
      </c>
      <c r="C63" s="112">
        <v>22500</v>
      </c>
      <c r="D63" s="93">
        <v>0</v>
      </c>
      <c r="E63" s="93">
        <f>C63-D63</f>
        <v>22500</v>
      </c>
    </row>
    <row r="64" spans="1:5" ht="23.25" customHeight="1">
      <c r="A64" s="111" t="s">
        <v>229</v>
      </c>
      <c r="B64" s="112">
        <v>9000</v>
      </c>
      <c r="C64" s="112">
        <v>9000</v>
      </c>
      <c r="D64" s="93">
        <v>0</v>
      </c>
      <c r="E64" s="93">
        <f aca="true" t="shared" si="3" ref="E64:E72">C64-D64</f>
        <v>9000</v>
      </c>
    </row>
    <row r="65" spans="1:5" ht="23.25" customHeight="1">
      <c r="A65" s="111" t="s">
        <v>230</v>
      </c>
      <c r="B65" s="112">
        <v>27500</v>
      </c>
      <c r="C65" s="112">
        <v>27500</v>
      </c>
      <c r="D65" s="93">
        <v>0</v>
      </c>
      <c r="E65" s="93">
        <f t="shared" si="3"/>
        <v>27500</v>
      </c>
    </row>
    <row r="66" spans="1:5" ht="23.25" customHeight="1">
      <c r="A66" s="111" t="s">
        <v>231</v>
      </c>
      <c r="B66" s="112">
        <v>29000</v>
      </c>
      <c r="C66" s="112">
        <v>29000</v>
      </c>
      <c r="D66" s="93">
        <v>0</v>
      </c>
      <c r="E66" s="93">
        <f t="shared" si="3"/>
        <v>29000</v>
      </c>
    </row>
    <row r="67" spans="1:5" ht="23.25" customHeight="1">
      <c r="A67" s="111" t="s">
        <v>232</v>
      </c>
      <c r="B67" s="112">
        <v>100000</v>
      </c>
      <c r="C67" s="112">
        <v>100000</v>
      </c>
      <c r="D67" s="93">
        <v>0</v>
      </c>
      <c r="E67" s="93">
        <f t="shared" si="3"/>
        <v>100000</v>
      </c>
    </row>
    <row r="68" spans="1:5" ht="23.25" customHeight="1">
      <c r="A68" s="111" t="s">
        <v>233</v>
      </c>
      <c r="B68" s="112">
        <v>44000</v>
      </c>
      <c r="C68" s="112">
        <v>44000</v>
      </c>
      <c r="D68" s="93">
        <v>0</v>
      </c>
      <c r="E68" s="93">
        <f t="shared" si="3"/>
        <v>44000</v>
      </c>
    </row>
    <row r="69" spans="1:5" ht="23.25" customHeight="1">
      <c r="A69" s="111" t="s">
        <v>234</v>
      </c>
      <c r="B69" s="112">
        <v>36000</v>
      </c>
      <c r="C69" s="112">
        <v>36000</v>
      </c>
      <c r="D69" s="93">
        <v>0</v>
      </c>
      <c r="E69" s="93">
        <f t="shared" si="3"/>
        <v>36000</v>
      </c>
    </row>
    <row r="70" spans="1:5" ht="23.25" customHeight="1">
      <c r="A70" s="111" t="s">
        <v>235</v>
      </c>
      <c r="B70" s="112">
        <v>67500</v>
      </c>
      <c r="C70" s="112">
        <v>67500</v>
      </c>
      <c r="D70" s="93">
        <v>0</v>
      </c>
      <c r="E70" s="93">
        <f t="shared" si="3"/>
        <v>67500</v>
      </c>
    </row>
    <row r="71" spans="1:5" ht="23.25" customHeight="1">
      <c r="A71" s="111" t="s">
        <v>236</v>
      </c>
      <c r="B71" s="112">
        <v>6000</v>
      </c>
      <c r="C71" s="112">
        <v>6000</v>
      </c>
      <c r="D71" s="93">
        <v>0</v>
      </c>
      <c r="E71" s="93">
        <f t="shared" si="3"/>
        <v>6000</v>
      </c>
    </row>
    <row r="72" spans="1:5" ht="23.25" customHeight="1">
      <c r="A72" s="113" t="s">
        <v>237</v>
      </c>
      <c r="B72" s="114">
        <v>30000</v>
      </c>
      <c r="C72" s="114">
        <v>30000</v>
      </c>
      <c r="D72" s="103">
        <v>0</v>
      </c>
      <c r="E72" s="103">
        <f t="shared" si="3"/>
        <v>30000</v>
      </c>
    </row>
    <row r="73" spans="1:5" ht="23.25" customHeight="1">
      <c r="A73" s="163"/>
      <c r="B73" s="164"/>
      <c r="C73" s="164"/>
      <c r="D73" s="106"/>
      <c r="E73" s="106"/>
    </row>
    <row r="74" spans="1:5" ht="23.25" customHeight="1">
      <c r="A74" s="200" t="s">
        <v>73</v>
      </c>
      <c r="B74" s="200"/>
      <c r="C74" s="200"/>
      <c r="D74" s="200"/>
      <c r="E74" s="200"/>
    </row>
    <row r="75" spans="1:5" ht="23.25" customHeight="1">
      <c r="A75" s="200" t="s">
        <v>197</v>
      </c>
      <c r="B75" s="200"/>
      <c r="C75" s="200"/>
      <c r="D75" s="200"/>
      <c r="E75" s="200"/>
    </row>
    <row r="76" spans="1:5" ht="23.25" customHeight="1">
      <c r="A76" s="201" t="s">
        <v>274</v>
      </c>
      <c r="B76" s="201"/>
      <c r="C76" s="201"/>
      <c r="D76" s="201"/>
      <c r="E76" s="86" t="s">
        <v>222</v>
      </c>
    </row>
    <row r="77" spans="1:5" ht="23.25" customHeight="1">
      <c r="A77" s="82"/>
      <c r="B77" s="82"/>
      <c r="C77" s="82"/>
      <c r="D77" s="82"/>
      <c r="E77" s="82"/>
    </row>
    <row r="78" spans="1:5" ht="23.25" customHeight="1">
      <c r="A78" s="89" t="s">
        <v>0</v>
      </c>
      <c r="B78" s="89" t="s">
        <v>7</v>
      </c>
      <c r="C78" s="89" t="s">
        <v>8</v>
      </c>
      <c r="D78" s="89" t="s">
        <v>187</v>
      </c>
      <c r="E78" s="89" t="s">
        <v>12</v>
      </c>
    </row>
    <row r="79" spans="1:5" ht="23.25" customHeight="1">
      <c r="A79" s="115" t="s">
        <v>238</v>
      </c>
      <c r="B79" s="116">
        <v>146000</v>
      </c>
      <c r="C79" s="112">
        <v>146000</v>
      </c>
      <c r="D79" s="93">
        <v>0</v>
      </c>
      <c r="E79" s="93">
        <f aca="true" t="shared" si="4" ref="E79:E85">C79-D79</f>
        <v>146000</v>
      </c>
    </row>
    <row r="80" spans="1:5" ht="23.25" customHeight="1">
      <c r="A80" s="111" t="s">
        <v>239</v>
      </c>
      <c r="B80" s="112">
        <v>10000</v>
      </c>
      <c r="C80" s="112">
        <v>10000</v>
      </c>
      <c r="D80" s="93">
        <v>0</v>
      </c>
      <c r="E80" s="93">
        <f t="shared" si="4"/>
        <v>10000</v>
      </c>
    </row>
    <row r="81" spans="1:5" ht="23.25" customHeight="1">
      <c r="A81" s="111" t="s">
        <v>240</v>
      </c>
      <c r="B81" s="112">
        <v>9400</v>
      </c>
      <c r="C81" s="112">
        <v>9400</v>
      </c>
      <c r="D81" s="93">
        <v>0</v>
      </c>
      <c r="E81" s="93">
        <f t="shared" si="4"/>
        <v>9400</v>
      </c>
    </row>
    <row r="82" spans="1:5" ht="21" customHeight="1">
      <c r="A82" s="92" t="s">
        <v>110</v>
      </c>
      <c r="B82" s="93">
        <v>120000</v>
      </c>
      <c r="C82" s="93">
        <v>120000</v>
      </c>
      <c r="D82" s="93">
        <v>0</v>
      </c>
      <c r="E82" s="93">
        <f t="shared" si="4"/>
        <v>120000</v>
      </c>
    </row>
    <row r="83" spans="1:5" ht="21" customHeight="1">
      <c r="A83" s="92" t="s">
        <v>241</v>
      </c>
      <c r="B83" s="93">
        <v>24000</v>
      </c>
      <c r="C83" s="93">
        <v>24000</v>
      </c>
      <c r="D83" s="93">
        <v>0</v>
      </c>
      <c r="E83" s="93">
        <f t="shared" si="4"/>
        <v>24000</v>
      </c>
    </row>
    <row r="84" spans="1:5" ht="20.25" customHeight="1">
      <c r="A84" s="92" t="s">
        <v>242</v>
      </c>
      <c r="B84" s="93">
        <v>23200</v>
      </c>
      <c r="C84" s="93">
        <v>23200</v>
      </c>
      <c r="D84" s="93">
        <v>0</v>
      </c>
      <c r="E84" s="93">
        <f t="shared" si="4"/>
        <v>23200</v>
      </c>
    </row>
    <row r="85" spans="1:5" ht="23.25" customHeight="1">
      <c r="A85" s="92" t="s">
        <v>111</v>
      </c>
      <c r="B85" s="93">
        <v>180000</v>
      </c>
      <c r="C85" s="93">
        <v>180000</v>
      </c>
      <c r="D85" s="93">
        <v>0</v>
      </c>
      <c r="E85" s="93">
        <f t="shared" si="4"/>
        <v>180000</v>
      </c>
    </row>
    <row r="86" spans="1:5" ht="23.25" customHeight="1" thickBot="1">
      <c r="A86" s="94" t="s">
        <v>195</v>
      </c>
      <c r="B86" s="95">
        <f>B63+B64+B65+B66+B67+B68+B69+B70+B71+B72+B79+B80+B81+B82+B83+B84+B85</f>
        <v>884100</v>
      </c>
      <c r="C86" s="95">
        <f>C63+C64+C65+C66+C67+C68+C69+C70+C71+C72+C79+C80+C81+C82+C83+C84+C85</f>
        <v>884100</v>
      </c>
      <c r="D86" s="95">
        <f>SUM(D82:D85)</f>
        <v>0</v>
      </c>
      <c r="E86" s="95">
        <f>E63+E64+E65+E66+E67+E68+E69+E70+E71+E72+E79+E80+E81+E82+E83+E84+E85</f>
        <v>884100</v>
      </c>
    </row>
    <row r="87" spans="1:5" ht="24" customHeight="1" thickTop="1">
      <c r="A87" s="117" t="s">
        <v>112</v>
      </c>
      <c r="B87" s="118"/>
      <c r="C87" s="118"/>
      <c r="D87" s="118"/>
      <c r="E87" s="119"/>
    </row>
    <row r="88" spans="1:5" ht="24">
      <c r="A88" s="92" t="s">
        <v>113</v>
      </c>
      <c r="B88" s="93">
        <v>25000</v>
      </c>
      <c r="C88" s="93">
        <v>25000</v>
      </c>
      <c r="D88" s="93">
        <v>0</v>
      </c>
      <c r="E88" s="93">
        <f>C88-D88</f>
        <v>25000</v>
      </c>
    </row>
    <row r="89" spans="1:5" ht="24.75" thickBot="1">
      <c r="A89" s="94" t="s">
        <v>198</v>
      </c>
      <c r="B89" s="95">
        <f>SUM(B88)</f>
        <v>25000</v>
      </c>
      <c r="C89" s="95">
        <f>SUM(C88)</f>
        <v>25000</v>
      </c>
      <c r="D89" s="95">
        <f>SUM(D88)</f>
        <v>0</v>
      </c>
      <c r="E89" s="95">
        <f>SUM(E88)</f>
        <v>25000</v>
      </c>
    </row>
    <row r="90" spans="1:5" ht="24.75" thickTop="1">
      <c r="A90" s="121"/>
      <c r="B90" s="105"/>
      <c r="C90" s="105"/>
      <c r="D90" s="105"/>
      <c r="E90" s="105"/>
    </row>
    <row r="91" spans="1:5" ht="24">
      <c r="A91" s="121"/>
      <c r="B91" s="105"/>
      <c r="C91" s="105"/>
      <c r="D91" s="105"/>
      <c r="E91" s="105"/>
    </row>
    <row r="92" spans="1:5" ht="24">
      <c r="A92" s="121"/>
      <c r="B92" s="105"/>
      <c r="C92" s="105"/>
      <c r="D92" s="105"/>
      <c r="E92" s="105"/>
    </row>
    <row r="93" spans="1:5" ht="24">
      <c r="A93" s="121"/>
      <c r="B93" s="105"/>
      <c r="C93" s="105"/>
      <c r="D93" s="105"/>
      <c r="E93" s="105"/>
    </row>
    <row r="94" spans="1:5" ht="24">
      <c r="A94" s="121"/>
      <c r="B94" s="105"/>
      <c r="C94" s="105"/>
      <c r="D94" s="105"/>
      <c r="E94" s="105"/>
    </row>
    <row r="95" spans="1:5" ht="24">
      <c r="A95" s="121"/>
      <c r="B95" s="105"/>
      <c r="C95" s="105"/>
      <c r="D95" s="105"/>
      <c r="E95" s="105"/>
    </row>
    <row r="96" spans="1:5" ht="24">
      <c r="A96" s="121"/>
      <c r="B96" s="105"/>
      <c r="C96" s="105"/>
      <c r="D96" s="105"/>
      <c r="E96" s="105"/>
    </row>
    <row r="97" spans="1:5" ht="24">
      <c r="A97" s="121"/>
      <c r="B97" s="105"/>
      <c r="C97" s="105"/>
      <c r="D97" s="105"/>
      <c r="E97" s="105"/>
    </row>
    <row r="98" spans="1:5" ht="24">
      <c r="A98" s="121"/>
      <c r="B98" s="105"/>
      <c r="C98" s="105"/>
      <c r="D98" s="105"/>
      <c r="E98" s="105"/>
    </row>
    <row r="99" spans="1:5" ht="24">
      <c r="A99" s="121"/>
      <c r="B99" s="105"/>
      <c r="C99" s="105"/>
      <c r="D99" s="105"/>
      <c r="E99" s="105"/>
    </row>
    <row r="100" spans="1:5" ht="24">
      <c r="A100" s="121"/>
      <c r="B100" s="105"/>
      <c r="C100" s="105"/>
      <c r="D100" s="105"/>
      <c r="E100" s="105"/>
    </row>
    <row r="101" spans="1:5" ht="24">
      <c r="A101" s="121"/>
      <c r="B101" s="105"/>
      <c r="C101" s="105"/>
      <c r="D101" s="105"/>
      <c r="E101" s="105"/>
    </row>
    <row r="102" spans="1:5" ht="24">
      <c r="A102" s="121"/>
      <c r="B102" s="105"/>
      <c r="C102" s="105"/>
      <c r="D102" s="105"/>
      <c r="E102" s="105"/>
    </row>
    <row r="103" spans="1:5" ht="24">
      <c r="A103" s="121"/>
      <c r="B103" s="105"/>
      <c r="C103" s="105"/>
      <c r="D103" s="105"/>
      <c r="E103" s="105"/>
    </row>
    <row r="104" spans="1:5" ht="24">
      <c r="A104" s="121"/>
      <c r="B104" s="105"/>
      <c r="C104" s="105"/>
      <c r="D104" s="105"/>
      <c r="E104" s="105"/>
    </row>
    <row r="105" spans="1:5" ht="24">
      <c r="A105" s="121"/>
      <c r="B105" s="105"/>
      <c r="C105" s="105"/>
      <c r="D105" s="105"/>
      <c r="E105" s="105"/>
    </row>
    <row r="106" spans="1:5" ht="24">
      <c r="A106" s="121"/>
      <c r="B106" s="105"/>
      <c r="C106" s="105"/>
      <c r="D106" s="105"/>
      <c r="E106" s="105"/>
    </row>
    <row r="107" spans="1:5" ht="24">
      <c r="A107" s="121"/>
      <c r="B107" s="105"/>
      <c r="C107" s="105"/>
      <c r="D107" s="105"/>
      <c r="E107" s="105"/>
    </row>
    <row r="108" spans="1:5" ht="24">
      <c r="A108" s="121"/>
      <c r="B108" s="105"/>
      <c r="C108" s="105"/>
      <c r="D108" s="105"/>
      <c r="E108" s="105"/>
    </row>
    <row r="109" spans="1:5" ht="24">
      <c r="A109" s="121"/>
      <c r="B109" s="105"/>
      <c r="C109" s="105"/>
      <c r="D109" s="105"/>
      <c r="E109" s="105"/>
    </row>
    <row r="110" spans="1:5" ht="23.25" customHeight="1">
      <c r="A110" s="200" t="s">
        <v>73</v>
      </c>
      <c r="B110" s="200"/>
      <c r="C110" s="200"/>
      <c r="D110" s="200"/>
      <c r="E110" s="200"/>
    </row>
    <row r="111" spans="1:5" ht="23.25" customHeight="1">
      <c r="A111" s="200" t="s">
        <v>243</v>
      </c>
      <c r="B111" s="200"/>
      <c r="C111" s="200"/>
      <c r="D111" s="200"/>
      <c r="E111" s="200"/>
    </row>
    <row r="112" spans="1:5" ht="23.25" customHeight="1">
      <c r="A112" s="201" t="s">
        <v>274</v>
      </c>
      <c r="B112" s="201"/>
      <c r="C112" s="201"/>
      <c r="D112" s="201"/>
      <c r="E112" s="86" t="s">
        <v>222</v>
      </c>
    </row>
    <row r="113" spans="1:5" ht="23.25" customHeight="1">
      <c r="A113" s="82"/>
      <c r="B113" s="82"/>
      <c r="C113" s="82"/>
      <c r="D113" s="82"/>
      <c r="E113" s="86"/>
    </row>
    <row r="114" spans="1:5" ht="23.25" customHeight="1">
      <c r="A114" s="89" t="s">
        <v>0</v>
      </c>
      <c r="B114" s="89" t="s">
        <v>7</v>
      </c>
      <c r="C114" s="89" t="s">
        <v>288</v>
      </c>
      <c r="D114" s="89" t="s">
        <v>187</v>
      </c>
      <c r="E114" s="89" t="s">
        <v>12</v>
      </c>
    </row>
    <row r="115" spans="1:5" ht="23.25" customHeight="1">
      <c r="A115" s="122" t="s">
        <v>281</v>
      </c>
      <c r="B115" s="123">
        <v>1373880</v>
      </c>
      <c r="C115" s="123">
        <f>B115-299010-299010</f>
        <v>775860</v>
      </c>
      <c r="D115" s="123">
        <v>304620</v>
      </c>
      <c r="E115" s="123">
        <f>C115-D115</f>
        <v>471240</v>
      </c>
    </row>
    <row r="116" spans="1:5" ht="23.25" customHeight="1">
      <c r="A116" s="124" t="s">
        <v>114</v>
      </c>
      <c r="B116" s="93">
        <v>60000</v>
      </c>
      <c r="C116" s="93">
        <f>B116-15000-15000</f>
        <v>30000</v>
      </c>
      <c r="D116" s="93">
        <v>15000</v>
      </c>
      <c r="E116" s="123">
        <f>C116-D116</f>
        <v>15000</v>
      </c>
    </row>
    <row r="117" spans="1:5" ht="23.25" customHeight="1">
      <c r="A117" s="124" t="s">
        <v>82</v>
      </c>
      <c r="B117" s="93">
        <v>133440</v>
      </c>
      <c r="C117" s="93">
        <f>B117-24635-32730</f>
        <v>76075</v>
      </c>
      <c r="D117" s="93">
        <v>32730</v>
      </c>
      <c r="E117" s="123">
        <f>C117-D117</f>
        <v>43345</v>
      </c>
    </row>
    <row r="118" spans="1:5" ht="24">
      <c r="A118" s="124" t="s">
        <v>115</v>
      </c>
      <c r="B118" s="93">
        <v>24000</v>
      </c>
      <c r="C118" s="93">
        <f>B118-4516-6000</f>
        <v>13484</v>
      </c>
      <c r="D118" s="93">
        <v>6000</v>
      </c>
      <c r="E118" s="123">
        <f>C118-D118</f>
        <v>7484</v>
      </c>
    </row>
    <row r="119" spans="1:5" ht="24.75" thickBot="1">
      <c r="A119" s="94" t="s">
        <v>199</v>
      </c>
      <c r="B119" s="95">
        <f>SUM(B115:B118)</f>
        <v>1591320</v>
      </c>
      <c r="C119" s="95">
        <f>SUM(C115:C118)</f>
        <v>895419</v>
      </c>
      <c r="D119" s="95">
        <f>SUM(D115:D118)</f>
        <v>358350</v>
      </c>
      <c r="E119" s="95">
        <f>SUM(E115:E118)</f>
        <v>537069</v>
      </c>
    </row>
    <row r="120" spans="1:5" ht="23.25" customHeight="1" thickTop="1">
      <c r="A120" s="125" t="s">
        <v>1</v>
      </c>
      <c r="B120" s="97"/>
      <c r="C120" s="123"/>
      <c r="D120" s="123"/>
      <c r="E120" s="123"/>
    </row>
    <row r="121" spans="1:5" ht="23.25" customHeight="1">
      <c r="A121" s="124" t="s">
        <v>116</v>
      </c>
      <c r="B121" s="93">
        <v>50000</v>
      </c>
      <c r="C121" s="126">
        <f>B121-7150-4000</f>
        <v>38850</v>
      </c>
      <c r="D121" s="126">
        <v>0</v>
      </c>
      <c r="E121" s="126">
        <f>C121-D121</f>
        <v>38850</v>
      </c>
    </row>
    <row r="122" spans="1:5" ht="23.25" customHeight="1" thickBot="1">
      <c r="A122" s="100" t="s">
        <v>191</v>
      </c>
      <c r="B122" s="95">
        <f>SUM(B121)</f>
        <v>50000</v>
      </c>
      <c r="C122" s="95">
        <f>SUM(C121)</f>
        <v>38850</v>
      </c>
      <c r="D122" s="95">
        <f>SUM(D121)</f>
        <v>0</v>
      </c>
      <c r="E122" s="95">
        <f>SUM(E121)</f>
        <v>38850</v>
      </c>
    </row>
    <row r="123" spans="1:5" ht="23.25" customHeight="1" thickTop="1">
      <c r="A123" s="125" t="s">
        <v>2</v>
      </c>
      <c r="B123" s="97"/>
      <c r="C123" s="123"/>
      <c r="D123" s="123"/>
      <c r="E123" s="123"/>
    </row>
    <row r="124" spans="1:5" ht="23.25" customHeight="1">
      <c r="A124" s="124" t="s">
        <v>117</v>
      </c>
      <c r="B124" s="93">
        <v>100000</v>
      </c>
      <c r="C124" s="93">
        <f>B124-13482</f>
        <v>86518</v>
      </c>
      <c r="D124" s="93">
        <v>0</v>
      </c>
      <c r="E124" s="93">
        <f>C124-D124</f>
        <v>86518</v>
      </c>
    </row>
    <row r="125" spans="1:5" ht="24">
      <c r="A125" s="124" t="s">
        <v>118</v>
      </c>
      <c r="B125" s="93">
        <v>50000</v>
      </c>
      <c r="C125" s="93">
        <v>50000</v>
      </c>
      <c r="D125" s="93">
        <v>0</v>
      </c>
      <c r="E125" s="93">
        <f>C125-D125</f>
        <v>50000</v>
      </c>
    </row>
    <row r="126" spans="1:5" ht="24">
      <c r="A126" s="124" t="s">
        <v>93</v>
      </c>
      <c r="B126" s="93">
        <v>50000</v>
      </c>
      <c r="C126" s="93">
        <f>B126</f>
        <v>50000</v>
      </c>
      <c r="D126" s="93">
        <v>11700</v>
      </c>
      <c r="E126" s="93">
        <f>C126-D126</f>
        <v>38300</v>
      </c>
    </row>
    <row r="127" spans="1:5" ht="23.25" customHeight="1">
      <c r="A127" s="124" t="s">
        <v>119</v>
      </c>
      <c r="B127" s="93">
        <v>20000</v>
      </c>
      <c r="C127" s="93">
        <f>B127-4000</f>
        <v>16000</v>
      </c>
      <c r="D127" s="93">
        <v>0</v>
      </c>
      <c r="E127" s="93">
        <f>C127-D127</f>
        <v>16000</v>
      </c>
    </row>
    <row r="128" spans="1:5" ht="24">
      <c r="A128" s="124" t="s">
        <v>120</v>
      </c>
      <c r="B128" s="93">
        <v>50000</v>
      </c>
      <c r="C128" s="93">
        <v>50000</v>
      </c>
      <c r="D128" s="93">
        <v>12300</v>
      </c>
      <c r="E128" s="93">
        <f>C128-D128</f>
        <v>37700</v>
      </c>
    </row>
    <row r="129" spans="1:5" ht="23.25" customHeight="1" thickBot="1">
      <c r="A129" s="100" t="s">
        <v>192</v>
      </c>
      <c r="B129" s="95">
        <f>SUM(B124:B128)</f>
        <v>270000</v>
      </c>
      <c r="C129" s="95">
        <f>SUM(C124:C128)</f>
        <v>252518</v>
      </c>
      <c r="D129" s="95">
        <f>SUM(D124:D128)</f>
        <v>24000</v>
      </c>
      <c r="E129" s="95">
        <f>SUM(E124:E128)</f>
        <v>228518</v>
      </c>
    </row>
    <row r="130" spans="1:5" ht="23.25" customHeight="1" thickTop="1">
      <c r="A130" s="127" t="s">
        <v>3</v>
      </c>
      <c r="B130" s="97"/>
      <c r="C130" s="97"/>
      <c r="D130" s="97"/>
      <c r="E130" s="97"/>
    </row>
    <row r="131" spans="1:5" ht="23.25" customHeight="1">
      <c r="A131" s="124" t="s">
        <v>282</v>
      </c>
      <c r="B131" s="93">
        <v>100000</v>
      </c>
      <c r="C131" s="93">
        <v>100000</v>
      </c>
      <c r="D131" s="93">
        <v>0</v>
      </c>
      <c r="E131" s="93">
        <f>B131-D131</f>
        <v>100000</v>
      </c>
    </row>
    <row r="132" spans="1:5" ht="24">
      <c r="A132" s="124" t="s">
        <v>121</v>
      </c>
      <c r="B132" s="93">
        <v>10000</v>
      </c>
      <c r="C132" s="93">
        <v>10000</v>
      </c>
      <c r="D132" s="93">
        <v>0</v>
      </c>
      <c r="E132" s="93">
        <f>B132-D132</f>
        <v>10000</v>
      </c>
    </row>
    <row r="133" spans="1:5" ht="24">
      <c r="A133" s="124" t="s">
        <v>122</v>
      </c>
      <c r="B133" s="93">
        <v>50000</v>
      </c>
      <c r="C133" s="93">
        <f>B133-4100-3440</f>
        <v>42460</v>
      </c>
      <c r="D133" s="93">
        <v>7220</v>
      </c>
      <c r="E133" s="93">
        <f>C133-D133</f>
        <v>35240</v>
      </c>
    </row>
    <row r="134" spans="1:5" ht="24.75" thickBot="1">
      <c r="A134" s="94" t="s">
        <v>193</v>
      </c>
      <c r="B134" s="95">
        <f>SUM(B131:B133)</f>
        <v>160000</v>
      </c>
      <c r="C134" s="95">
        <f>SUM(C131:C133)</f>
        <v>152460</v>
      </c>
      <c r="D134" s="95">
        <f>SUM(D130:D133)</f>
        <v>7220</v>
      </c>
      <c r="E134" s="95">
        <f>SUM(E130:E133)</f>
        <v>145240</v>
      </c>
    </row>
    <row r="135" spans="1:5" ht="24.75" thickTop="1">
      <c r="A135" s="127" t="s">
        <v>123</v>
      </c>
      <c r="B135" s="97"/>
      <c r="C135" s="97"/>
      <c r="D135" s="97"/>
      <c r="E135" s="97"/>
    </row>
    <row r="136" spans="1:5" ht="24">
      <c r="A136" s="124" t="s">
        <v>283</v>
      </c>
      <c r="B136" s="93">
        <v>20000</v>
      </c>
      <c r="C136" s="123">
        <f>B136-4267</f>
        <v>15733</v>
      </c>
      <c r="D136" s="123">
        <v>970</v>
      </c>
      <c r="E136" s="123">
        <f>C136-D136</f>
        <v>14763</v>
      </c>
    </row>
    <row r="137" spans="1:5" ht="24.75" thickBot="1">
      <c r="A137" s="128" t="s">
        <v>194</v>
      </c>
      <c r="B137" s="95">
        <f>SUM(B136)</f>
        <v>20000</v>
      </c>
      <c r="C137" s="95">
        <f>SUM(C136)</f>
        <v>15733</v>
      </c>
      <c r="D137" s="95">
        <f>SUM(D136)</f>
        <v>970</v>
      </c>
      <c r="E137" s="95">
        <f>C137-D137</f>
        <v>14763</v>
      </c>
    </row>
    <row r="138" spans="1:5" ht="24.75" thickTop="1">
      <c r="A138" s="129" t="s">
        <v>109</v>
      </c>
      <c r="B138" s="130"/>
      <c r="C138" s="130"/>
      <c r="D138" s="130"/>
      <c r="E138" s="130"/>
    </row>
    <row r="139" spans="1:5" ht="24">
      <c r="A139" s="131" t="s">
        <v>227</v>
      </c>
      <c r="B139" s="120"/>
      <c r="C139" s="120"/>
      <c r="D139" s="120"/>
      <c r="E139" s="120"/>
    </row>
    <row r="140" spans="1:5" ht="24">
      <c r="A140" s="92" t="s">
        <v>233</v>
      </c>
      <c r="B140" s="93">
        <v>22000</v>
      </c>
      <c r="C140" s="93">
        <v>22000</v>
      </c>
      <c r="D140" s="93">
        <v>0</v>
      </c>
      <c r="E140" s="93">
        <f>B140-D140</f>
        <v>22000</v>
      </c>
    </row>
    <row r="141" spans="1:5" ht="24">
      <c r="A141" s="92" t="s">
        <v>244</v>
      </c>
      <c r="B141" s="93">
        <v>18000</v>
      </c>
      <c r="C141" s="93">
        <v>18000</v>
      </c>
      <c r="D141" s="93">
        <v>0</v>
      </c>
      <c r="E141" s="93">
        <f>B141-D141</f>
        <v>18000</v>
      </c>
    </row>
    <row r="142" spans="1:5" ht="24">
      <c r="A142" s="92" t="s">
        <v>245</v>
      </c>
      <c r="B142" s="126">
        <v>60000</v>
      </c>
      <c r="C142" s="126">
        <v>60000</v>
      </c>
      <c r="D142" s="93">
        <v>0</v>
      </c>
      <c r="E142" s="93">
        <f>B142-D142</f>
        <v>60000</v>
      </c>
    </row>
    <row r="143" spans="1:5" ht="24">
      <c r="A143" s="92" t="s">
        <v>246</v>
      </c>
      <c r="B143" s="126">
        <v>12000</v>
      </c>
      <c r="C143" s="126">
        <v>12000</v>
      </c>
      <c r="D143" s="93">
        <v>0</v>
      </c>
      <c r="E143" s="93">
        <f>B143-D143</f>
        <v>12000</v>
      </c>
    </row>
    <row r="144" spans="1:5" ht="24">
      <c r="A144" s="92" t="s">
        <v>242</v>
      </c>
      <c r="B144" s="126">
        <v>11600</v>
      </c>
      <c r="C144" s="126">
        <v>11600</v>
      </c>
      <c r="D144" s="93">
        <v>0</v>
      </c>
      <c r="E144" s="93">
        <f>B144-D144</f>
        <v>11600</v>
      </c>
    </row>
    <row r="145" spans="1:5" ht="23.25" customHeight="1" thickBot="1">
      <c r="A145" s="132" t="s">
        <v>195</v>
      </c>
      <c r="B145" s="95">
        <f>SUM(B140:B144)</f>
        <v>123600</v>
      </c>
      <c r="C145" s="95">
        <f>SUM(C140:C144)</f>
        <v>123600</v>
      </c>
      <c r="D145" s="95">
        <f>SUM(D140:D144)</f>
        <v>0</v>
      </c>
      <c r="E145" s="95">
        <f>SUM(E140:E144)</f>
        <v>123600</v>
      </c>
    </row>
    <row r="146" spans="1:5" ht="23.25" customHeight="1" thickTop="1">
      <c r="A146" s="166"/>
      <c r="B146" s="105"/>
      <c r="C146" s="105"/>
      <c r="D146" s="105"/>
      <c r="E146" s="105"/>
    </row>
    <row r="147" spans="1:5" ht="24">
      <c r="A147" s="200" t="s">
        <v>73</v>
      </c>
      <c r="B147" s="200"/>
      <c r="C147" s="200"/>
      <c r="D147" s="200"/>
      <c r="E147" s="200"/>
    </row>
    <row r="148" spans="1:5" ht="24">
      <c r="A148" s="200" t="s">
        <v>200</v>
      </c>
      <c r="B148" s="200"/>
      <c r="C148" s="200"/>
      <c r="D148" s="200"/>
      <c r="E148" s="200"/>
    </row>
    <row r="149" spans="1:5" ht="24">
      <c r="A149" s="201" t="s">
        <v>274</v>
      </c>
      <c r="B149" s="201"/>
      <c r="C149" s="201"/>
      <c r="D149" s="201"/>
      <c r="E149" s="86" t="s">
        <v>222</v>
      </c>
    </row>
    <row r="150" spans="1:5" ht="24">
      <c r="A150" s="82"/>
      <c r="B150" s="82"/>
      <c r="C150" s="82"/>
      <c r="D150" s="82"/>
      <c r="E150" s="82"/>
    </row>
    <row r="151" spans="1:5" ht="23.25" customHeight="1">
      <c r="A151" s="89" t="s">
        <v>0</v>
      </c>
      <c r="B151" s="89" t="s">
        <v>7</v>
      </c>
      <c r="C151" s="89" t="s">
        <v>8</v>
      </c>
      <c r="D151" s="89" t="s">
        <v>187</v>
      </c>
      <c r="E151" s="89" t="s">
        <v>12</v>
      </c>
    </row>
    <row r="152" spans="1:5" ht="23.25" customHeight="1">
      <c r="A152" s="133" t="s">
        <v>124</v>
      </c>
      <c r="B152" s="91"/>
      <c r="C152" s="91"/>
      <c r="D152" s="91"/>
      <c r="E152" s="91"/>
    </row>
    <row r="153" spans="1:5" ht="23.25" customHeight="1">
      <c r="A153" s="125" t="s">
        <v>2</v>
      </c>
      <c r="B153" s="93"/>
      <c r="C153" s="93"/>
      <c r="D153" s="93"/>
      <c r="E153" s="93"/>
    </row>
    <row r="154" spans="1:5" ht="24">
      <c r="A154" s="124" t="s">
        <v>125</v>
      </c>
      <c r="B154" s="93">
        <v>7200</v>
      </c>
      <c r="C154" s="93">
        <v>7200</v>
      </c>
      <c r="D154" s="93">
        <v>0</v>
      </c>
      <c r="E154" s="93">
        <f>B154-D154</f>
        <v>7200</v>
      </c>
    </row>
    <row r="155" spans="1:5" ht="23.25" customHeight="1">
      <c r="A155" s="124" t="s">
        <v>126</v>
      </c>
      <c r="B155" s="93">
        <v>50000</v>
      </c>
      <c r="C155" s="93">
        <v>50000</v>
      </c>
      <c r="D155" s="93">
        <v>0</v>
      </c>
      <c r="E155" s="93">
        <f>B155-D155</f>
        <v>50000</v>
      </c>
    </row>
    <row r="156" spans="1:5" ht="23.25" customHeight="1">
      <c r="A156" s="124" t="s">
        <v>127</v>
      </c>
      <c r="B156" s="93">
        <v>20000</v>
      </c>
      <c r="C156" s="93">
        <v>20000</v>
      </c>
      <c r="D156" s="93">
        <v>0</v>
      </c>
      <c r="E156" s="93">
        <f>B156-D156</f>
        <v>20000</v>
      </c>
    </row>
    <row r="157" spans="1:5" ht="23.25" customHeight="1" thickBot="1">
      <c r="A157" s="94" t="s">
        <v>192</v>
      </c>
      <c r="B157" s="95">
        <f>SUM(B154:B156)</f>
        <v>77200</v>
      </c>
      <c r="C157" s="95">
        <f>SUM(C154:C156)</f>
        <v>77200</v>
      </c>
      <c r="D157" s="95">
        <f>SUM(D154:D156)</f>
        <v>0</v>
      </c>
      <c r="E157" s="95">
        <f>SUM(E154:E156)</f>
        <v>77200</v>
      </c>
    </row>
    <row r="158" spans="1:5" ht="23.25" customHeight="1" thickTop="1">
      <c r="A158" s="131" t="s">
        <v>3</v>
      </c>
      <c r="B158" s="165"/>
      <c r="C158" s="165"/>
      <c r="D158" s="165"/>
      <c r="E158" s="165"/>
    </row>
    <row r="159" spans="1:5" ht="23.25" customHeight="1">
      <c r="A159" s="92" t="s">
        <v>128</v>
      </c>
      <c r="B159" s="93">
        <v>100000</v>
      </c>
      <c r="C159" s="93">
        <v>100000</v>
      </c>
      <c r="D159" s="93">
        <v>73500</v>
      </c>
      <c r="E159" s="120">
        <f>C159-D159</f>
        <v>26500</v>
      </c>
    </row>
    <row r="160" spans="1:5" ht="23.25" customHeight="1" thickBot="1">
      <c r="A160" s="94" t="s">
        <v>193</v>
      </c>
      <c r="B160" s="138">
        <v>100000</v>
      </c>
      <c r="C160" s="138">
        <f>SUM(C159)</f>
        <v>100000</v>
      </c>
      <c r="D160" s="138">
        <f>SUM(D159)</f>
        <v>73500</v>
      </c>
      <c r="E160" s="138">
        <f>SUM(E159)</f>
        <v>26500</v>
      </c>
    </row>
    <row r="161" spans="1:5" ht="23.25" customHeight="1" thickTop="1">
      <c r="A161" s="127" t="s">
        <v>247</v>
      </c>
      <c r="B161" s="97"/>
      <c r="C161" s="97"/>
      <c r="D161" s="97"/>
      <c r="E161" s="97"/>
    </row>
    <row r="162" spans="1:5" ht="24">
      <c r="A162" s="124" t="s">
        <v>248</v>
      </c>
      <c r="B162" s="93">
        <v>25000</v>
      </c>
      <c r="C162" s="93">
        <v>25000</v>
      </c>
      <c r="D162" s="93">
        <v>0</v>
      </c>
      <c r="E162" s="93">
        <f>B162-D162</f>
        <v>25000</v>
      </c>
    </row>
    <row r="163" spans="1:5" ht="23.25" customHeight="1" thickBot="1">
      <c r="A163" s="134" t="s">
        <v>193</v>
      </c>
      <c r="B163" s="95">
        <f>SUM(B162:B162)</f>
        <v>25000</v>
      </c>
      <c r="C163" s="95">
        <f>SUM(C162)</f>
        <v>25000</v>
      </c>
      <c r="D163" s="95">
        <f>SUM(D162:D162)</f>
        <v>0</v>
      </c>
      <c r="E163" s="95">
        <f>SUM(E162:E162)</f>
        <v>25000</v>
      </c>
    </row>
    <row r="164" spans="1:5" ht="23.25" customHeight="1" thickTop="1">
      <c r="A164" s="121"/>
      <c r="B164" s="105"/>
      <c r="C164" s="105"/>
      <c r="D164" s="105"/>
      <c r="E164" s="105"/>
    </row>
    <row r="165" spans="1:5" ht="23.25" customHeight="1">
      <c r="A165" s="121"/>
      <c r="B165" s="105"/>
      <c r="C165" s="105"/>
      <c r="D165" s="105"/>
      <c r="E165" s="105"/>
    </row>
    <row r="166" spans="1:5" ht="24">
      <c r="A166" s="121"/>
      <c r="B166" s="105"/>
      <c r="C166" s="105"/>
      <c r="D166" s="105"/>
      <c r="E166" s="105"/>
    </row>
    <row r="167" spans="1:5" ht="24">
      <c r="A167" s="121"/>
      <c r="B167" s="105"/>
      <c r="C167" s="105"/>
      <c r="D167" s="105"/>
      <c r="E167" s="105"/>
    </row>
    <row r="168" spans="1:5" ht="23.25" customHeight="1">
      <c r="A168" s="121"/>
      <c r="B168" s="105"/>
      <c r="C168" s="105"/>
      <c r="D168" s="105"/>
      <c r="E168" s="105"/>
    </row>
    <row r="169" spans="1:5" ht="24">
      <c r="A169" s="121"/>
      <c r="B169" s="105"/>
      <c r="C169" s="105"/>
      <c r="D169" s="105"/>
      <c r="E169" s="105"/>
    </row>
    <row r="170" spans="1:5" ht="23.25" customHeight="1">
      <c r="A170" s="121"/>
      <c r="B170" s="105"/>
      <c r="C170" s="105"/>
      <c r="D170" s="105"/>
      <c r="E170" s="105"/>
    </row>
    <row r="171" spans="1:5" ht="23.25" customHeight="1">
      <c r="A171" s="121"/>
      <c r="B171" s="105"/>
      <c r="C171" s="105"/>
      <c r="D171" s="105"/>
      <c r="E171" s="105"/>
    </row>
    <row r="172" spans="1:5" ht="23.25" customHeight="1">
      <c r="A172" s="121"/>
      <c r="B172" s="105"/>
      <c r="C172" s="105"/>
      <c r="D172" s="105"/>
      <c r="E172" s="105"/>
    </row>
    <row r="173" spans="1:5" ht="23.25" customHeight="1">
      <c r="A173" s="121"/>
      <c r="B173" s="105"/>
      <c r="C173" s="105"/>
      <c r="D173" s="105"/>
      <c r="E173" s="105"/>
    </row>
    <row r="174" spans="1:5" ht="24">
      <c r="A174" s="121"/>
      <c r="B174" s="105"/>
      <c r="C174" s="105"/>
      <c r="D174" s="105"/>
      <c r="E174" s="105"/>
    </row>
    <row r="175" spans="1:5" ht="24">
      <c r="A175" s="121"/>
      <c r="B175" s="105"/>
      <c r="C175" s="105"/>
      <c r="D175" s="105"/>
      <c r="E175" s="105"/>
    </row>
    <row r="176" spans="1:5" ht="23.25" customHeight="1">
      <c r="A176" s="121"/>
      <c r="B176" s="105"/>
      <c r="C176" s="105"/>
      <c r="D176" s="105"/>
      <c r="E176" s="105"/>
    </row>
    <row r="177" spans="1:5" ht="24">
      <c r="A177" s="121"/>
      <c r="B177" s="105"/>
      <c r="C177" s="105"/>
      <c r="D177" s="105"/>
      <c r="E177" s="105"/>
    </row>
    <row r="178" spans="1:5" ht="23.25" customHeight="1">
      <c r="A178" s="121"/>
      <c r="B178" s="105"/>
      <c r="C178" s="105"/>
      <c r="D178" s="105"/>
      <c r="E178" s="105"/>
    </row>
    <row r="179" spans="1:5" ht="23.25" customHeight="1">
      <c r="A179" s="121"/>
      <c r="B179" s="105"/>
      <c r="C179" s="105"/>
      <c r="D179" s="105"/>
      <c r="E179" s="105"/>
    </row>
    <row r="180" spans="1:5" ht="23.25" customHeight="1">
      <c r="A180" s="121"/>
      <c r="B180" s="105"/>
      <c r="C180" s="105"/>
      <c r="D180" s="105"/>
      <c r="E180" s="105"/>
    </row>
    <row r="181" spans="1:5" ht="24">
      <c r="A181" s="121"/>
      <c r="B181" s="105"/>
      <c r="C181" s="105"/>
      <c r="D181" s="105"/>
      <c r="E181" s="105"/>
    </row>
    <row r="182" spans="1:5" ht="24">
      <c r="A182" s="121"/>
      <c r="B182" s="105"/>
      <c r="C182" s="105"/>
      <c r="D182" s="105"/>
      <c r="E182" s="105"/>
    </row>
    <row r="183" spans="1:5" ht="23.25" customHeight="1">
      <c r="A183" s="200" t="s">
        <v>73</v>
      </c>
      <c r="B183" s="200"/>
      <c r="C183" s="200"/>
      <c r="D183" s="200"/>
      <c r="E183" s="200"/>
    </row>
    <row r="184" spans="1:5" ht="24">
      <c r="A184" s="200" t="s">
        <v>201</v>
      </c>
      <c r="B184" s="200"/>
      <c r="C184" s="200"/>
      <c r="D184" s="200"/>
      <c r="E184" s="200"/>
    </row>
    <row r="185" spans="1:5" ht="23.25" customHeight="1">
      <c r="A185" s="201" t="s">
        <v>274</v>
      </c>
      <c r="B185" s="201"/>
      <c r="C185" s="201"/>
      <c r="D185" s="201"/>
      <c r="E185" s="86" t="s">
        <v>222</v>
      </c>
    </row>
    <row r="186" spans="1:5" ht="23.25" customHeight="1">
      <c r="A186" s="135"/>
      <c r="B186" s="135"/>
      <c r="C186" s="135"/>
      <c r="D186" s="135"/>
      <c r="E186" s="135"/>
    </row>
    <row r="187" spans="1:5" ht="23.25" customHeight="1">
      <c r="A187" s="89" t="s">
        <v>0</v>
      </c>
      <c r="B187" s="89" t="s">
        <v>7</v>
      </c>
      <c r="C187" s="89" t="s">
        <v>289</v>
      </c>
      <c r="D187" s="89" t="s">
        <v>187</v>
      </c>
      <c r="E187" s="89" t="s">
        <v>12</v>
      </c>
    </row>
    <row r="188" spans="1:5" ht="23.25" customHeight="1">
      <c r="A188" s="136" t="s">
        <v>2</v>
      </c>
      <c r="B188" s="91"/>
      <c r="C188" s="91"/>
      <c r="D188" s="91"/>
      <c r="E188" s="91"/>
    </row>
    <row r="189" spans="1:5" ht="24">
      <c r="A189" s="92" t="s">
        <v>249</v>
      </c>
      <c r="B189" s="93">
        <v>50000</v>
      </c>
      <c r="C189" s="93">
        <f>B189-24400</f>
        <v>25600</v>
      </c>
      <c r="D189" s="93">
        <v>0</v>
      </c>
      <c r="E189" s="93">
        <f>C189-D189</f>
        <v>25600</v>
      </c>
    </row>
    <row r="190" spans="1:5" ht="23.25" customHeight="1">
      <c r="A190" s="92" t="s">
        <v>129</v>
      </c>
      <c r="B190" s="93">
        <v>127400</v>
      </c>
      <c r="C190" s="93">
        <f>B190-33800</f>
        <v>93600</v>
      </c>
      <c r="D190" s="93">
        <v>59700</v>
      </c>
      <c r="E190" s="93">
        <f>C190-D190</f>
        <v>33900</v>
      </c>
    </row>
    <row r="191" spans="1:5" ht="23.25" customHeight="1">
      <c r="A191" s="92" t="s">
        <v>130</v>
      </c>
      <c r="B191" s="93">
        <v>44200</v>
      </c>
      <c r="C191" s="93">
        <v>44200</v>
      </c>
      <c r="D191" s="93">
        <v>0</v>
      </c>
      <c r="E191" s="93">
        <f>C191-D191</f>
        <v>44200</v>
      </c>
    </row>
    <row r="192" spans="1:5" ht="24.75" thickBot="1">
      <c r="A192" s="94" t="s">
        <v>192</v>
      </c>
      <c r="B192" s="95">
        <f>SUM(B189:B191)</f>
        <v>221600</v>
      </c>
      <c r="C192" s="95">
        <f>SUM(C189:C191)</f>
        <v>163400</v>
      </c>
      <c r="D192" s="95">
        <f>SUM(D189:D191)</f>
        <v>59700</v>
      </c>
      <c r="E192" s="95">
        <f>SUM(E189:E191)</f>
        <v>103700</v>
      </c>
    </row>
    <row r="193" spans="1:5" ht="23.25" customHeight="1" thickTop="1">
      <c r="A193" s="101" t="s">
        <v>3</v>
      </c>
      <c r="B193" s="99"/>
      <c r="C193" s="99"/>
      <c r="D193" s="99"/>
      <c r="E193" s="99"/>
    </row>
    <row r="194" spans="1:5" ht="23.25" customHeight="1">
      <c r="A194" s="92" t="s">
        <v>131</v>
      </c>
      <c r="B194" s="93">
        <v>10000</v>
      </c>
      <c r="C194" s="93">
        <v>10000</v>
      </c>
      <c r="D194" s="93">
        <v>9996</v>
      </c>
      <c r="E194" s="93">
        <f>B194-D194</f>
        <v>4</v>
      </c>
    </row>
    <row r="195" spans="1:5" ht="23.25" customHeight="1">
      <c r="A195" s="92" t="s">
        <v>132</v>
      </c>
      <c r="B195" s="93">
        <v>764566</v>
      </c>
      <c r="C195" s="93">
        <f>B195-56601.16-103931.1</f>
        <v>604033.74</v>
      </c>
      <c r="D195" s="93">
        <v>175289</v>
      </c>
      <c r="E195" s="93">
        <f>C195-D195</f>
        <v>428744.74</v>
      </c>
    </row>
    <row r="196" spans="1:5" ht="24">
      <c r="A196" s="92" t="s">
        <v>133</v>
      </c>
      <c r="B196" s="93">
        <v>15000</v>
      </c>
      <c r="C196" s="93">
        <v>15000</v>
      </c>
      <c r="D196" s="93">
        <v>8745</v>
      </c>
      <c r="E196" s="93">
        <f>B196-D196</f>
        <v>6255</v>
      </c>
    </row>
    <row r="197" spans="1:5" ht="23.25" customHeight="1">
      <c r="A197" s="92" t="s">
        <v>134</v>
      </c>
      <c r="B197" s="93">
        <v>20000</v>
      </c>
      <c r="C197" s="93">
        <v>20000</v>
      </c>
      <c r="D197" s="93">
        <v>9000</v>
      </c>
      <c r="E197" s="93">
        <f>B197-D197</f>
        <v>11000</v>
      </c>
    </row>
    <row r="198" spans="1:5" ht="23.25" customHeight="1">
      <c r="A198" s="92" t="s">
        <v>290</v>
      </c>
      <c r="B198" s="126">
        <v>15000</v>
      </c>
      <c r="C198" s="126">
        <v>15000</v>
      </c>
      <c r="D198" s="126">
        <v>0</v>
      </c>
      <c r="E198" s="93">
        <f>B198-D198</f>
        <v>15000</v>
      </c>
    </row>
    <row r="199" spans="1:5" ht="23.25" customHeight="1" thickBot="1">
      <c r="A199" s="100" t="s">
        <v>193</v>
      </c>
      <c r="B199" s="95">
        <f>SUM(B194:B198)</f>
        <v>824566</v>
      </c>
      <c r="C199" s="95">
        <f>SUM(C194:C198)</f>
        <v>664033.74</v>
      </c>
      <c r="D199" s="95">
        <f>SUM(D194:D198)</f>
        <v>203030</v>
      </c>
      <c r="E199" s="95">
        <f>SUM(E194:E198)</f>
        <v>461003.74</v>
      </c>
    </row>
    <row r="200" spans="1:5" ht="23.25" customHeight="1" thickTop="1">
      <c r="A200" s="101" t="s">
        <v>135</v>
      </c>
      <c r="B200" s="99"/>
      <c r="C200" s="99"/>
      <c r="D200" s="99"/>
      <c r="E200" s="99"/>
    </row>
    <row r="201" spans="1:5" ht="23.25" customHeight="1">
      <c r="A201" s="92" t="s">
        <v>284</v>
      </c>
      <c r="B201" s="93">
        <v>208000</v>
      </c>
      <c r="C201" s="93">
        <f>B201-52000-52000</f>
        <v>104000</v>
      </c>
      <c r="D201" s="93">
        <v>52000</v>
      </c>
      <c r="E201" s="93">
        <f>C201-D201</f>
        <v>52000</v>
      </c>
    </row>
    <row r="202" spans="1:5" ht="23.25" customHeight="1">
      <c r="A202" s="92" t="s">
        <v>136</v>
      </c>
      <c r="B202" s="93">
        <v>264000</v>
      </c>
      <c r="C202" s="93">
        <f>B202-66000-67000</f>
        <v>131000</v>
      </c>
      <c r="D202" s="93">
        <v>60000</v>
      </c>
      <c r="E202" s="93">
        <f>C202-D202</f>
        <v>71000</v>
      </c>
    </row>
    <row r="203" spans="1:5" ht="23.25" customHeight="1">
      <c r="A203" s="92" t="s">
        <v>137</v>
      </c>
      <c r="B203" s="93">
        <v>1020000</v>
      </c>
      <c r="C203" s="93">
        <f>B203-255000-257000</f>
        <v>508000</v>
      </c>
      <c r="D203" s="93">
        <v>242000</v>
      </c>
      <c r="E203" s="93">
        <f>C203-D203</f>
        <v>266000</v>
      </c>
    </row>
    <row r="204" spans="1:5" ht="23.25" customHeight="1" thickBot="1">
      <c r="A204" s="137" t="s">
        <v>202</v>
      </c>
      <c r="B204" s="95">
        <f>SUM(B201:B203)</f>
        <v>1492000</v>
      </c>
      <c r="C204" s="95">
        <f>SUM(C201:C203)</f>
        <v>743000</v>
      </c>
      <c r="D204" s="95">
        <f>SUM(D201:D203)</f>
        <v>354000</v>
      </c>
      <c r="E204" s="95">
        <f>SUM(E201:E203)</f>
        <v>389000</v>
      </c>
    </row>
    <row r="205" spans="1:5" ht="23.25" customHeight="1" thickTop="1">
      <c r="A205" s="169" t="s">
        <v>109</v>
      </c>
      <c r="B205" s="165"/>
      <c r="C205" s="165"/>
      <c r="D205" s="165"/>
      <c r="E205" s="165"/>
    </row>
    <row r="206" spans="1:5" ht="23.25" customHeight="1">
      <c r="A206" s="170" t="s">
        <v>227</v>
      </c>
      <c r="B206" s="123">
        <v>15000</v>
      </c>
      <c r="C206" s="123">
        <v>15000</v>
      </c>
      <c r="D206" s="123">
        <v>0</v>
      </c>
      <c r="E206" s="123">
        <f>C206-D206</f>
        <v>15000</v>
      </c>
    </row>
    <row r="207" spans="1:5" ht="23.25" customHeight="1" thickBot="1">
      <c r="A207" s="134" t="s">
        <v>291</v>
      </c>
      <c r="B207" s="138">
        <f>SUM(B206)</f>
        <v>15000</v>
      </c>
      <c r="C207" s="138">
        <f>SUM(C206)</f>
        <v>15000</v>
      </c>
      <c r="D207" s="138">
        <f>SUM(D206)</f>
        <v>0</v>
      </c>
      <c r="E207" s="138">
        <f>SUM(E206)</f>
        <v>15000</v>
      </c>
    </row>
    <row r="208" spans="1:5" ht="23.25" customHeight="1" thickTop="1">
      <c r="A208" s="121"/>
      <c r="B208" s="105"/>
      <c r="C208" s="105"/>
      <c r="D208" s="105"/>
      <c r="E208" s="105"/>
    </row>
    <row r="209" spans="1:5" ht="23.25" customHeight="1">
      <c r="A209" s="121"/>
      <c r="B209" s="105"/>
      <c r="C209" s="105"/>
      <c r="D209" s="105"/>
      <c r="E209" s="105"/>
    </row>
    <row r="210" spans="1:5" ht="23.25" customHeight="1">
      <c r="A210" s="121"/>
      <c r="B210" s="105"/>
      <c r="C210" s="105"/>
      <c r="D210" s="105"/>
      <c r="E210" s="105"/>
    </row>
    <row r="211" spans="1:5" ht="23.25" customHeight="1">
      <c r="A211" s="121"/>
      <c r="B211" s="105"/>
      <c r="C211" s="105"/>
      <c r="D211" s="105"/>
      <c r="E211" s="105"/>
    </row>
    <row r="212" spans="1:5" ht="23.25" customHeight="1">
      <c r="A212" s="121"/>
      <c r="B212" s="105"/>
      <c r="C212" s="105"/>
      <c r="D212" s="105"/>
      <c r="E212" s="105"/>
    </row>
    <row r="213" spans="1:5" ht="23.25" customHeight="1">
      <c r="A213" s="121"/>
      <c r="B213" s="105"/>
      <c r="C213" s="105"/>
      <c r="D213" s="105"/>
      <c r="E213" s="105"/>
    </row>
    <row r="214" spans="1:5" ht="23.25" customHeight="1">
      <c r="A214" s="121"/>
      <c r="B214" s="105"/>
      <c r="C214" s="105"/>
      <c r="D214" s="105"/>
      <c r="E214" s="105"/>
    </row>
    <row r="215" spans="1:5" ht="23.25" customHeight="1">
      <c r="A215" s="121"/>
      <c r="B215" s="105"/>
      <c r="C215" s="105"/>
      <c r="D215" s="105"/>
      <c r="E215" s="105"/>
    </row>
    <row r="216" spans="1:5" ht="24">
      <c r="A216" s="121"/>
      <c r="B216" s="105"/>
      <c r="C216" s="105"/>
      <c r="D216" s="105"/>
      <c r="E216" s="105"/>
    </row>
    <row r="217" spans="1:5" ht="24">
      <c r="A217" s="121"/>
      <c r="B217" s="105"/>
      <c r="C217" s="105"/>
      <c r="D217" s="105"/>
      <c r="E217" s="105"/>
    </row>
    <row r="218" spans="1:5" ht="23.25" customHeight="1">
      <c r="A218" s="121"/>
      <c r="B218" s="105"/>
      <c r="C218" s="105"/>
      <c r="D218" s="105"/>
      <c r="E218" s="105"/>
    </row>
    <row r="219" spans="1:5" ht="23.25" customHeight="1">
      <c r="A219" s="121"/>
      <c r="B219" s="105"/>
      <c r="C219" s="105"/>
      <c r="D219" s="105"/>
      <c r="E219" s="105"/>
    </row>
    <row r="220" spans="1:5" ht="24">
      <c r="A220" s="200" t="s">
        <v>73</v>
      </c>
      <c r="B220" s="200"/>
      <c r="C220" s="200"/>
      <c r="D220" s="200"/>
      <c r="E220" s="200"/>
    </row>
    <row r="221" spans="1:5" ht="24">
      <c r="A221" s="200" t="s">
        <v>203</v>
      </c>
      <c r="B221" s="200"/>
      <c r="C221" s="200"/>
      <c r="D221" s="200"/>
      <c r="E221" s="200"/>
    </row>
    <row r="222" spans="1:5" ht="23.25" customHeight="1">
      <c r="A222" s="201" t="s">
        <v>274</v>
      </c>
      <c r="B222" s="201"/>
      <c r="C222" s="201"/>
      <c r="D222" s="201"/>
      <c r="E222" s="86" t="s">
        <v>222</v>
      </c>
    </row>
    <row r="223" spans="1:5" ht="23.25" customHeight="1">
      <c r="A223" s="82"/>
      <c r="B223" s="82"/>
      <c r="C223" s="82"/>
      <c r="D223" s="82"/>
      <c r="E223" s="82"/>
    </row>
    <row r="224" spans="1:5" ht="23.25" customHeight="1">
      <c r="A224" s="89" t="s">
        <v>0</v>
      </c>
      <c r="B224" s="89" t="s">
        <v>7</v>
      </c>
      <c r="C224" s="89" t="s">
        <v>8</v>
      </c>
      <c r="D224" s="89" t="s">
        <v>187</v>
      </c>
      <c r="E224" s="89" t="s">
        <v>12</v>
      </c>
    </row>
    <row r="225" spans="1:5" ht="23.25" customHeight="1">
      <c r="A225" s="98" t="s">
        <v>2</v>
      </c>
      <c r="B225" s="93"/>
      <c r="C225" s="93"/>
      <c r="D225" s="93"/>
      <c r="E225" s="120"/>
    </row>
    <row r="226" spans="1:5" ht="23.25" customHeight="1">
      <c r="A226" s="92" t="s">
        <v>138</v>
      </c>
      <c r="B226" s="93">
        <v>50000</v>
      </c>
      <c r="C226" s="93">
        <f>B226-7760-11460</f>
        <v>30780</v>
      </c>
      <c r="D226" s="93">
        <v>11700</v>
      </c>
      <c r="E226" s="93">
        <f>C226-D226</f>
        <v>19080</v>
      </c>
    </row>
    <row r="227" spans="1:5" ht="23.25" customHeight="1" thickBot="1">
      <c r="A227" s="137" t="s">
        <v>192</v>
      </c>
      <c r="B227" s="138">
        <f>SUM(B226)</f>
        <v>50000</v>
      </c>
      <c r="C227" s="138">
        <f>SUM(C226)</f>
        <v>30780</v>
      </c>
      <c r="D227" s="138">
        <f>SUM(D226)</f>
        <v>11700</v>
      </c>
      <c r="E227" s="138">
        <f>SUM(E226)</f>
        <v>19080</v>
      </c>
    </row>
    <row r="228" spans="1:5" ht="23.25" customHeight="1" thickTop="1">
      <c r="A228" s="121"/>
      <c r="B228" s="105"/>
      <c r="C228" s="105"/>
      <c r="D228" s="105"/>
      <c r="E228" s="105"/>
    </row>
    <row r="229" spans="1:5" ht="23.25" customHeight="1">
      <c r="A229" s="121"/>
      <c r="B229" s="105"/>
      <c r="C229" s="105"/>
      <c r="D229" s="105"/>
      <c r="E229" s="105"/>
    </row>
    <row r="230" spans="1:5" ht="24">
      <c r="A230" s="121"/>
      <c r="B230" s="105"/>
      <c r="C230" s="105"/>
      <c r="D230" s="105"/>
      <c r="E230" s="105"/>
    </row>
    <row r="231" spans="1:5" ht="24">
      <c r="A231" s="121"/>
      <c r="B231" s="105"/>
      <c r="C231" s="105"/>
      <c r="D231" s="105"/>
      <c r="E231" s="105"/>
    </row>
    <row r="232" spans="1:5" ht="23.25" customHeight="1">
      <c r="A232" s="121"/>
      <c r="B232" s="105"/>
      <c r="C232" s="105"/>
      <c r="D232" s="105"/>
      <c r="E232" s="105"/>
    </row>
    <row r="233" spans="1:5" ht="23.25" customHeight="1">
      <c r="A233" s="121"/>
      <c r="B233" s="105"/>
      <c r="C233" s="105"/>
      <c r="D233" s="105"/>
      <c r="E233" s="105"/>
    </row>
    <row r="234" spans="1:5" ht="23.25" customHeight="1">
      <c r="A234" s="121"/>
      <c r="B234" s="105"/>
      <c r="C234" s="105"/>
      <c r="D234" s="105"/>
      <c r="E234" s="105"/>
    </row>
    <row r="235" spans="1:5" ht="23.25" customHeight="1">
      <c r="A235" s="121"/>
      <c r="B235" s="105"/>
      <c r="C235" s="105"/>
      <c r="D235" s="105"/>
      <c r="E235" s="105"/>
    </row>
    <row r="236" spans="1:5" ht="24">
      <c r="A236" s="121"/>
      <c r="B236" s="105"/>
      <c r="C236" s="105"/>
      <c r="D236" s="105"/>
      <c r="E236" s="105"/>
    </row>
    <row r="237" spans="1:5" ht="23.25" customHeight="1">
      <c r="A237" s="121"/>
      <c r="B237" s="105"/>
      <c r="C237" s="105"/>
      <c r="D237" s="105"/>
      <c r="E237" s="105"/>
    </row>
    <row r="238" spans="1:5" ht="23.25" customHeight="1">
      <c r="A238" s="121"/>
      <c r="B238" s="105"/>
      <c r="C238" s="105"/>
      <c r="D238" s="105"/>
      <c r="E238" s="105"/>
    </row>
    <row r="239" spans="1:5" ht="23.25" customHeight="1">
      <c r="A239" s="121"/>
      <c r="B239" s="105"/>
      <c r="C239" s="105"/>
      <c r="D239" s="105"/>
      <c r="E239" s="105"/>
    </row>
    <row r="240" spans="1:5" ht="23.25" customHeight="1">
      <c r="A240" s="121"/>
      <c r="B240" s="105"/>
      <c r="C240" s="105"/>
      <c r="D240" s="105"/>
      <c r="E240" s="105"/>
    </row>
    <row r="241" spans="1:5" ht="24">
      <c r="A241" s="121"/>
      <c r="B241" s="105"/>
      <c r="C241" s="105"/>
      <c r="D241" s="105"/>
      <c r="E241" s="105"/>
    </row>
    <row r="242" spans="1:5" ht="24">
      <c r="A242" s="121"/>
      <c r="B242" s="105"/>
      <c r="C242" s="105"/>
      <c r="D242" s="105"/>
      <c r="E242" s="105"/>
    </row>
    <row r="243" spans="1:5" ht="23.25" customHeight="1">
      <c r="A243" s="121"/>
      <c r="B243" s="105"/>
      <c r="C243" s="105"/>
      <c r="D243" s="105"/>
      <c r="E243" s="105"/>
    </row>
    <row r="244" spans="1:5" ht="24">
      <c r="A244" s="121"/>
      <c r="B244" s="105"/>
      <c r="C244" s="105"/>
      <c r="D244" s="105"/>
      <c r="E244" s="105"/>
    </row>
    <row r="245" spans="1:5" ht="23.25" customHeight="1">
      <c r="A245" s="121"/>
      <c r="B245" s="105"/>
      <c r="C245" s="105"/>
      <c r="D245" s="105"/>
      <c r="E245" s="105"/>
    </row>
    <row r="246" spans="1:5" ht="23.25" customHeight="1">
      <c r="A246" s="121"/>
      <c r="B246" s="105"/>
      <c r="C246" s="105"/>
      <c r="D246" s="105"/>
      <c r="E246" s="105"/>
    </row>
    <row r="247" spans="1:5" ht="23.25" customHeight="1">
      <c r="A247" s="121"/>
      <c r="B247" s="105"/>
      <c r="C247" s="105"/>
      <c r="D247" s="105"/>
      <c r="E247" s="105"/>
    </row>
    <row r="248" spans="1:5" ht="24">
      <c r="A248" s="121"/>
      <c r="B248" s="105"/>
      <c r="C248" s="105"/>
      <c r="D248" s="105"/>
      <c r="E248" s="105"/>
    </row>
    <row r="249" spans="1:5" ht="24">
      <c r="A249" s="121"/>
      <c r="B249" s="105"/>
      <c r="C249" s="105"/>
      <c r="D249" s="105"/>
      <c r="E249" s="105"/>
    </row>
    <row r="250" spans="1:5" ht="23.25" customHeight="1">
      <c r="A250" s="121"/>
      <c r="B250" s="105"/>
      <c r="C250" s="105"/>
      <c r="D250" s="105"/>
      <c r="E250" s="105"/>
    </row>
    <row r="251" spans="1:5" ht="23.25" customHeight="1">
      <c r="A251" s="121"/>
      <c r="B251" s="105"/>
      <c r="C251" s="105"/>
      <c r="D251" s="105"/>
      <c r="E251" s="105"/>
    </row>
    <row r="252" spans="1:5" ht="23.25" customHeight="1">
      <c r="A252" s="121"/>
      <c r="B252" s="105"/>
      <c r="C252" s="105"/>
      <c r="D252" s="105"/>
      <c r="E252" s="105"/>
    </row>
    <row r="253" spans="1:5" ht="23.25" customHeight="1">
      <c r="A253" s="121"/>
      <c r="B253" s="105"/>
      <c r="C253" s="105"/>
      <c r="D253" s="105"/>
      <c r="E253" s="105"/>
    </row>
    <row r="254" spans="1:5" ht="23.25" customHeight="1">
      <c r="A254" s="121"/>
      <c r="B254" s="105"/>
      <c r="C254" s="105"/>
      <c r="D254" s="105"/>
      <c r="E254" s="105"/>
    </row>
    <row r="255" spans="1:5" ht="24">
      <c r="A255" s="121"/>
      <c r="B255" s="105"/>
      <c r="C255" s="105"/>
      <c r="D255" s="105"/>
      <c r="E255" s="105"/>
    </row>
    <row r="256" spans="1:5" ht="23.25" customHeight="1">
      <c r="A256" s="200" t="s">
        <v>73</v>
      </c>
      <c r="B256" s="200"/>
      <c r="C256" s="200"/>
      <c r="D256" s="200"/>
      <c r="E256" s="200"/>
    </row>
    <row r="257" spans="1:5" ht="23.25" customHeight="1">
      <c r="A257" s="200" t="s">
        <v>204</v>
      </c>
      <c r="B257" s="200"/>
      <c r="C257" s="200"/>
      <c r="D257" s="200"/>
      <c r="E257" s="200"/>
    </row>
    <row r="258" spans="1:5" ht="23.25" customHeight="1">
      <c r="A258" s="201" t="s">
        <v>274</v>
      </c>
      <c r="B258" s="201"/>
      <c r="C258" s="201"/>
      <c r="D258" s="201"/>
      <c r="E258" s="86" t="s">
        <v>222</v>
      </c>
    </row>
    <row r="259" spans="1:5" ht="23.25" customHeight="1">
      <c r="A259" s="202"/>
      <c r="B259" s="202"/>
      <c r="C259" s="202"/>
      <c r="D259" s="202"/>
      <c r="E259" s="202"/>
    </row>
    <row r="260" spans="1:5" ht="24">
      <c r="A260" s="89" t="s">
        <v>0</v>
      </c>
      <c r="B260" s="89" t="s">
        <v>7</v>
      </c>
      <c r="C260" s="89" t="s">
        <v>8</v>
      </c>
      <c r="D260" s="89" t="s">
        <v>187</v>
      </c>
      <c r="E260" s="89" t="s">
        <v>12</v>
      </c>
    </row>
    <row r="261" spans="1:5" ht="23.25" customHeight="1">
      <c r="A261" s="92" t="s">
        <v>285</v>
      </c>
      <c r="B261" s="93">
        <v>906920</v>
      </c>
      <c r="C261" s="93">
        <f>B261-173760-173760</f>
        <v>559400</v>
      </c>
      <c r="D261" s="93">
        <v>176730</v>
      </c>
      <c r="E261" s="93">
        <f>C261-D261</f>
        <v>382670</v>
      </c>
    </row>
    <row r="262" spans="1:5" ht="23.25" customHeight="1">
      <c r="A262" s="92" t="s">
        <v>114</v>
      </c>
      <c r="B262" s="93">
        <v>60000</v>
      </c>
      <c r="C262" s="93">
        <f>B262-10500-10500</f>
        <v>39000</v>
      </c>
      <c r="D262" s="93">
        <v>10500</v>
      </c>
      <c r="E262" s="93">
        <f>C262-D262</f>
        <v>28500</v>
      </c>
    </row>
    <row r="263" spans="1:5" ht="24">
      <c r="A263" s="92" t="s">
        <v>286</v>
      </c>
      <c r="B263" s="93">
        <v>623720</v>
      </c>
      <c r="C263" s="93">
        <f>B263-154680-154680</f>
        <v>314360</v>
      </c>
      <c r="D263" s="93">
        <v>154680</v>
      </c>
      <c r="E263" s="93">
        <f>C263-D263</f>
        <v>159680</v>
      </c>
    </row>
    <row r="264" spans="1:5" ht="24">
      <c r="A264" s="92" t="s">
        <v>115</v>
      </c>
      <c r="B264" s="93">
        <v>30000</v>
      </c>
      <c r="C264" s="93">
        <f>B264-4740-4740</f>
        <v>20520</v>
      </c>
      <c r="D264" s="93">
        <v>4740</v>
      </c>
      <c r="E264" s="93">
        <f>C264-D264</f>
        <v>15780</v>
      </c>
    </row>
    <row r="265" spans="1:5" ht="24.75" thickBot="1">
      <c r="A265" s="100" t="s">
        <v>205</v>
      </c>
      <c r="B265" s="95">
        <f>SUM(B261:B264)</f>
        <v>1620640</v>
      </c>
      <c r="C265" s="95">
        <f>SUM(C261:C264)</f>
        <v>933280</v>
      </c>
      <c r="D265" s="95">
        <f>SUM(D261:D264)</f>
        <v>346650</v>
      </c>
      <c r="E265" s="95">
        <f>SUM(E261:E264)</f>
        <v>586630</v>
      </c>
    </row>
    <row r="266" spans="1:5" ht="23.25" customHeight="1" thickTop="1">
      <c r="A266" s="98" t="s">
        <v>1</v>
      </c>
      <c r="B266" s="97"/>
      <c r="C266" s="97"/>
      <c r="D266" s="97"/>
      <c r="E266" s="99"/>
    </row>
    <row r="267" spans="1:5" ht="24">
      <c r="A267" s="92" t="s">
        <v>139</v>
      </c>
      <c r="B267" s="93">
        <v>42000</v>
      </c>
      <c r="C267" s="93">
        <f>B267-7000-14000</f>
        <v>21000</v>
      </c>
      <c r="D267" s="93">
        <v>7000</v>
      </c>
      <c r="E267" s="93">
        <f>C267-D267</f>
        <v>14000</v>
      </c>
    </row>
    <row r="268" spans="1:5" ht="23.25" customHeight="1" thickBot="1">
      <c r="A268" s="94" t="s">
        <v>191</v>
      </c>
      <c r="B268" s="95">
        <f>SUM(B267)</f>
        <v>42000</v>
      </c>
      <c r="C268" s="95">
        <f>SUM(C267)</f>
        <v>21000</v>
      </c>
      <c r="D268" s="95">
        <f>SUM(D267)</f>
        <v>7000</v>
      </c>
      <c r="E268" s="95">
        <f>SUM(E267)</f>
        <v>14000</v>
      </c>
    </row>
    <row r="269" spans="1:5" ht="24.75" thickTop="1">
      <c r="A269" s="98" t="s">
        <v>2</v>
      </c>
      <c r="B269" s="99"/>
      <c r="C269" s="99"/>
      <c r="D269" s="99"/>
      <c r="E269" s="99"/>
    </row>
    <row r="270" spans="1:5" ht="23.25" customHeight="1">
      <c r="A270" s="92" t="s">
        <v>117</v>
      </c>
      <c r="B270" s="93">
        <v>500000</v>
      </c>
      <c r="C270" s="93">
        <f>B270-72000-108000</f>
        <v>320000</v>
      </c>
      <c r="D270" s="93">
        <v>156300</v>
      </c>
      <c r="E270" s="93">
        <f>C270-D270</f>
        <v>163700</v>
      </c>
    </row>
    <row r="271" spans="1:5" ht="24">
      <c r="A271" s="92" t="s">
        <v>118</v>
      </c>
      <c r="B271" s="93">
        <v>10000</v>
      </c>
      <c r="C271" s="93">
        <v>10000</v>
      </c>
      <c r="D271" s="93">
        <v>0</v>
      </c>
      <c r="E271" s="93">
        <f>B271-D271</f>
        <v>10000</v>
      </c>
    </row>
    <row r="272" spans="1:5" ht="24">
      <c r="A272" s="92" t="s">
        <v>93</v>
      </c>
      <c r="B272" s="93">
        <v>60000</v>
      </c>
      <c r="C272" s="93">
        <v>60000</v>
      </c>
      <c r="D272" s="93">
        <v>3900</v>
      </c>
      <c r="E272" s="93">
        <f>B272-D272</f>
        <v>56100</v>
      </c>
    </row>
    <row r="273" spans="1:5" ht="24">
      <c r="A273" s="92" t="s">
        <v>120</v>
      </c>
      <c r="B273" s="93">
        <v>50000</v>
      </c>
      <c r="C273" s="93">
        <v>50000</v>
      </c>
      <c r="D273" s="93">
        <v>15800</v>
      </c>
      <c r="E273" s="93">
        <f>B273-D273</f>
        <v>34200</v>
      </c>
    </row>
    <row r="274" spans="1:5" ht="24.75" thickBot="1">
      <c r="A274" s="100" t="s">
        <v>192</v>
      </c>
      <c r="B274" s="95">
        <f>SUM(B270:B273)</f>
        <v>620000</v>
      </c>
      <c r="C274" s="95">
        <f>SUM(C270:C273)</f>
        <v>440000</v>
      </c>
      <c r="D274" s="95">
        <f>SUM(D270:D273)</f>
        <v>176000</v>
      </c>
      <c r="E274" s="95">
        <f>SUM(E270:E273)</f>
        <v>264000</v>
      </c>
    </row>
    <row r="275" spans="1:5" ht="23.25" customHeight="1" thickTop="1">
      <c r="A275" s="98" t="s">
        <v>140</v>
      </c>
      <c r="B275" s="99"/>
      <c r="C275" s="99"/>
      <c r="D275" s="99"/>
      <c r="E275" s="99"/>
    </row>
    <row r="276" spans="1:5" ht="23.25" customHeight="1">
      <c r="A276" s="92" t="s">
        <v>101</v>
      </c>
      <c r="B276" s="93">
        <v>10000</v>
      </c>
      <c r="C276" s="93">
        <v>10000</v>
      </c>
      <c r="D276" s="93">
        <v>0</v>
      </c>
      <c r="E276" s="93">
        <f>B276-D276</f>
        <v>10000</v>
      </c>
    </row>
    <row r="277" spans="1:5" ht="23.25" customHeight="1">
      <c r="A277" s="92" t="s">
        <v>104</v>
      </c>
      <c r="B277" s="93">
        <v>10000</v>
      </c>
      <c r="C277" s="93">
        <v>10000</v>
      </c>
      <c r="D277" s="93">
        <v>0</v>
      </c>
      <c r="E277" s="93">
        <f>B277-D277</f>
        <v>10000</v>
      </c>
    </row>
    <row r="278" spans="1:5" ht="23.25" customHeight="1" thickBot="1">
      <c r="A278" s="139" t="s">
        <v>193</v>
      </c>
      <c r="B278" s="95">
        <f>SUM(B276:B277)</f>
        <v>20000</v>
      </c>
      <c r="C278" s="95">
        <f>SUM(C276:C277)</f>
        <v>20000</v>
      </c>
      <c r="D278" s="95">
        <f>SUM(D276:D277)</f>
        <v>0</v>
      </c>
      <c r="E278" s="95">
        <f>SUM(E276:E277)</f>
        <v>20000</v>
      </c>
    </row>
    <row r="279" spans="1:5" ht="23.25" customHeight="1" thickTop="1">
      <c r="A279" s="140" t="s">
        <v>109</v>
      </c>
      <c r="B279" s="165"/>
      <c r="C279" s="165"/>
      <c r="D279" s="165"/>
      <c r="E279" s="165"/>
    </row>
    <row r="280" spans="1:5" ht="24">
      <c r="A280" s="131" t="s">
        <v>250</v>
      </c>
      <c r="B280" s="120"/>
      <c r="C280" s="120"/>
      <c r="D280" s="120"/>
      <c r="E280" s="120"/>
    </row>
    <row r="281" spans="1:5" ht="24">
      <c r="A281" s="92" t="s">
        <v>233</v>
      </c>
      <c r="B281" s="93">
        <v>11000</v>
      </c>
      <c r="C281" s="93">
        <v>11000</v>
      </c>
      <c r="D281" s="93">
        <v>0</v>
      </c>
      <c r="E281" s="93">
        <f>B281-D281</f>
        <v>11000</v>
      </c>
    </row>
    <row r="282" spans="1:5" ht="23.25" customHeight="1">
      <c r="A282" s="92" t="s">
        <v>234</v>
      </c>
      <c r="B282" s="93">
        <v>18000</v>
      </c>
      <c r="C282" s="93">
        <v>18000</v>
      </c>
      <c r="D282" s="93">
        <v>0</v>
      </c>
      <c r="E282" s="93">
        <f>B282-D282</f>
        <v>18000</v>
      </c>
    </row>
    <row r="283" spans="1:5" ht="23.25" customHeight="1" thickBot="1">
      <c r="A283" s="94" t="s">
        <v>195</v>
      </c>
      <c r="B283" s="95">
        <f>SUM(B281:B282)</f>
        <v>29000</v>
      </c>
      <c r="C283" s="95">
        <f>SUM(C281:C282)</f>
        <v>29000</v>
      </c>
      <c r="D283" s="95">
        <f>SUM(D281:D282)</f>
        <v>0</v>
      </c>
      <c r="E283" s="95">
        <f>SUM(E281:E282)</f>
        <v>29000</v>
      </c>
    </row>
    <row r="284" spans="1:5" ht="24.75" thickTop="1">
      <c r="A284" s="121"/>
      <c r="B284" s="105"/>
      <c r="C284" s="105"/>
      <c r="D284" s="105"/>
      <c r="E284" s="105"/>
    </row>
    <row r="285" spans="1:5" ht="23.25" customHeight="1">
      <c r="A285" s="121"/>
      <c r="B285" s="105"/>
      <c r="C285" s="105"/>
      <c r="D285" s="105"/>
      <c r="E285" s="105"/>
    </row>
    <row r="286" spans="1:5" ht="24">
      <c r="A286" s="121"/>
      <c r="B286" s="105"/>
      <c r="C286" s="105"/>
      <c r="D286" s="105"/>
      <c r="E286" s="105"/>
    </row>
    <row r="287" spans="1:5" ht="24">
      <c r="A287" s="121"/>
      <c r="B287" s="105"/>
      <c r="C287" s="105"/>
      <c r="D287" s="105"/>
      <c r="E287" s="105"/>
    </row>
    <row r="288" spans="1:5" ht="24">
      <c r="A288" s="121"/>
      <c r="B288" s="105"/>
      <c r="C288" s="105"/>
      <c r="D288" s="105"/>
      <c r="E288" s="105"/>
    </row>
    <row r="289" spans="1:5" ht="23.25" customHeight="1">
      <c r="A289" s="121"/>
      <c r="B289" s="105"/>
      <c r="C289" s="105"/>
      <c r="D289" s="105"/>
      <c r="E289" s="105"/>
    </row>
    <row r="290" spans="1:5" ht="23.25" customHeight="1">
      <c r="A290" s="121"/>
      <c r="B290" s="105"/>
      <c r="C290" s="105"/>
      <c r="D290" s="105"/>
      <c r="E290" s="105"/>
    </row>
    <row r="291" spans="1:5" ht="23.25" customHeight="1">
      <c r="A291" s="121"/>
      <c r="B291" s="105"/>
      <c r="C291" s="105"/>
      <c r="D291" s="105"/>
      <c r="E291" s="105"/>
    </row>
    <row r="292" spans="1:5" ht="23.25" customHeight="1">
      <c r="A292" s="200" t="s">
        <v>73</v>
      </c>
      <c r="B292" s="200"/>
      <c r="C292" s="200"/>
      <c r="D292" s="200"/>
      <c r="E292" s="200"/>
    </row>
    <row r="293" spans="1:5" ht="23.25" customHeight="1">
      <c r="A293" s="200" t="s">
        <v>206</v>
      </c>
      <c r="B293" s="200"/>
      <c r="C293" s="200"/>
      <c r="D293" s="200"/>
      <c r="E293" s="200"/>
    </row>
    <row r="294" spans="1:5" ht="23.25" customHeight="1">
      <c r="A294" s="201" t="s">
        <v>274</v>
      </c>
      <c r="B294" s="201"/>
      <c r="C294" s="201"/>
      <c r="D294" s="201"/>
      <c r="E294" s="86" t="s">
        <v>222</v>
      </c>
    </row>
    <row r="295" spans="1:5" ht="23.25" customHeight="1">
      <c r="A295" s="82"/>
      <c r="B295" s="82"/>
      <c r="C295" s="82"/>
      <c r="D295" s="82"/>
      <c r="E295" s="82"/>
    </row>
    <row r="296" spans="1:5" ht="23.25" customHeight="1">
      <c r="A296" s="89" t="s">
        <v>0</v>
      </c>
      <c r="B296" s="89" t="s">
        <v>7</v>
      </c>
      <c r="C296" s="89" t="s">
        <v>288</v>
      </c>
      <c r="D296" s="89" t="s">
        <v>187</v>
      </c>
      <c r="E296" s="89" t="s">
        <v>12</v>
      </c>
    </row>
    <row r="297" spans="1:5" ht="23.25" customHeight="1">
      <c r="A297" s="98" t="s">
        <v>141</v>
      </c>
      <c r="B297" s="120"/>
      <c r="C297" s="120"/>
      <c r="D297" s="120"/>
      <c r="E297" s="120"/>
    </row>
    <row r="298" spans="1:5" ht="24">
      <c r="A298" s="92" t="s">
        <v>142</v>
      </c>
      <c r="B298" s="93">
        <v>15000</v>
      </c>
      <c r="C298" s="93">
        <v>0</v>
      </c>
      <c r="D298" s="93">
        <v>0</v>
      </c>
      <c r="E298" s="93">
        <v>0</v>
      </c>
    </row>
    <row r="299" spans="1:5" ht="48">
      <c r="A299" s="92" t="s">
        <v>143</v>
      </c>
      <c r="B299" s="93">
        <v>29900</v>
      </c>
      <c r="C299" s="93">
        <v>29900</v>
      </c>
      <c r="D299" s="93">
        <v>29900</v>
      </c>
      <c r="E299" s="93">
        <f>B299-D299</f>
        <v>0</v>
      </c>
    </row>
    <row r="300" spans="1:5" ht="23.25" customHeight="1">
      <c r="A300" s="92" t="s">
        <v>144</v>
      </c>
      <c r="B300" s="93">
        <v>10000</v>
      </c>
      <c r="C300" s="93">
        <v>10000</v>
      </c>
      <c r="D300" s="93">
        <v>0</v>
      </c>
      <c r="E300" s="93">
        <f>B300-D300</f>
        <v>10000</v>
      </c>
    </row>
    <row r="301" spans="1:5" ht="23.25" customHeight="1" thickBot="1">
      <c r="A301" s="94" t="s">
        <v>192</v>
      </c>
      <c r="B301" s="141">
        <f>SUM(B298:B300)</f>
        <v>54900</v>
      </c>
      <c r="C301" s="141">
        <f>SUM(C298:C300)</f>
        <v>39900</v>
      </c>
      <c r="D301" s="141">
        <f>SUM(D298:D300)</f>
        <v>29900</v>
      </c>
      <c r="E301" s="141">
        <f>SUM(E298:E300)</f>
        <v>10000</v>
      </c>
    </row>
    <row r="302" spans="1:5" ht="24.75" thickTop="1">
      <c r="A302" s="98" t="s">
        <v>135</v>
      </c>
      <c r="B302" s="99"/>
      <c r="C302" s="99"/>
      <c r="D302" s="99"/>
      <c r="E302" s="99"/>
    </row>
    <row r="303" spans="1:5" ht="23.25" customHeight="1">
      <c r="A303" s="92" t="s">
        <v>145</v>
      </c>
      <c r="B303" s="93">
        <v>10000</v>
      </c>
      <c r="C303" s="93">
        <v>10000</v>
      </c>
      <c r="D303" s="93">
        <v>10000</v>
      </c>
      <c r="E303" s="93">
        <f>B303-D303</f>
        <v>0</v>
      </c>
    </row>
    <row r="304" spans="1:5" ht="23.25" customHeight="1">
      <c r="A304" s="92" t="s">
        <v>146</v>
      </c>
      <c r="B304" s="93">
        <v>10000</v>
      </c>
      <c r="C304" s="93">
        <v>10000</v>
      </c>
      <c r="D304" s="93">
        <v>10000</v>
      </c>
      <c r="E304" s="93">
        <f>B304-D304</f>
        <v>0</v>
      </c>
    </row>
    <row r="305" spans="1:5" ht="24">
      <c r="A305" s="92" t="s">
        <v>147</v>
      </c>
      <c r="B305" s="93">
        <v>5000</v>
      </c>
      <c r="C305" s="93">
        <v>5000</v>
      </c>
      <c r="D305" s="93">
        <v>5000</v>
      </c>
      <c r="E305" s="93">
        <f>B305-D305</f>
        <v>0</v>
      </c>
    </row>
    <row r="306" spans="1:5" ht="23.25" customHeight="1">
      <c r="A306" s="92" t="s">
        <v>148</v>
      </c>
      <c r="B306" s="126">
        <v>135000</v>
      </c>
      <c r="C306" s="126">
        <v>135000</v>
      </c>
      <c r="D306" s="126">
        <v>0</v>
      </c>
      <c r="E306" s="126">
        <f>B306-D306</f>
        <v>135000</v>
      </c>
    </row>
    <row r="307" spans="1:5" ht="24.75" thickBot="1">
      <c r="A307" s="142" t="s">
        <v>207</v>
      </c>
      <c r="B307" s="141">
        <f>SUM(B303:B306)</f>
        <v>160000</v>
      </c>
      <c r="C307" s="141">
        <f>SUM(C303:C306)</f>
        <v>160000</v>
      </c>
      <c r="D307" s="141">
        <f>SUM(D303:D306)</f>
        <v>25000</v>
      </c>
      <c r="E307" s="141">
        <f>SUM(E303:E306)</f>
        <v>135000</v>
      </c>
    </row>
    <row r="308" spans="1:5" ht="24.75" thickTop="1">
      <c r="A308" s="121"/>
      <c r="B308" s="105"/>
      <c r="C308" s="105"/>
      <c r="D308" s="105"/>
      <c r="E308" s="105"/>
    </row>
    <row r="309" spans="1:5" ht="23.25" customHeight="1">
      <c r="A309" s="121"/>
      <c r="B309" s="105"/>
      <c r="C309" s="105"/>
      <c r="D309" s="105"/>
      <c r="E309" s="105"/>
    </row>
    <row r="310" spans="1:5" ht="24">
      <c r="A310" s="121"/>
      <c r="B310" s="105"/>
      <c r="C310" s="105"/>
      <c r="D310" s="105"/>
      <c r="E310" s="105"/>
    </row>
    <row r="311" spans="1:5" ht="24">
      <c r="A311" s="121"/>
      <c r="B311" s="105"/>
      <c r="C311" s="105"/>
      <c r="D311" s="105"/>
      <c r="E311" s="105"/>
    </row>
    <row r="312" spans="1:5" ht="23.25" customHeight="1">
      <c r="A312" s="121"/>
      <c r="B312" s="105"/>
      <c r="C312" s="105"/>
      <c r="D312" s="105"/>
      <c r="E312" s="105"/>
    </row>
    <row r="313" spans="1:5" ht="23.25" customHeight="1">
      <c r="A313" s="121"/>
      <c r="B313" s="105"/>
      <c r="C313" s="105"/>
      <c r="D313" s="105"/>
      <c r="E313" s="105"/>
    </row>
    <row r="314" spans="1:5" ht="23.25" customHeight="1">
      <c r="A314" s="121"/>
      <c r="B314" s="105"/>
      <c r="C314" s="105"/>
      <c r="D314" s="105"/>
      <c r="E314" s="105"/>
    </row>
    <row r="315" spans="1:5" ht="23.25" customHeight="1">
      <c r="A315" s="121"/>
      <c r="B315" s="105"/>
      <c r="C315" s="105"/>
      <c r="D315" s="105"/>
      <c r="E315" s="105"/>
    </row>
    <row r="316" spans="1:5" ht="23.25" customHeight="1">
      <c r="A316" s="121"/>
      <c r="B316" s="105"/>
      <c r="C316" s="105"/>
      <c r="D316" s="105"/>
      <c r="E316" s="105"/>
    </row>
    <row r="317" spans="1:5" ht="23.25" customHeight="1">
      <c r="A317" s="121"/>
      <c r="B317" s="105"/>
      <c r="C317" s="105"/>
      <c r="D317" s="105"/>
      <c r="E317" s="105"/>
    </row>
    <row r="318" spans="1:5" ht="24">
      <c r="A318" s="121"/>
      <c r="B318" s="105"/>
      <c r="C318" s="105"/>
      <c r="D318" s="105"/>
      <c r="E318" s="105"/>
    </row>
    <row r="319" spans="1:5" ht="23.25" customHeight="1">
      <c r="A319" s="121"/>
      <c r="B319" s="105"/>
      <c r="C319" s="105"/>
      <c r="D319" s="105"/>
      <c r="E319" s="105"/>
    </row>
    <row r="320" spans="1:5" ht="23.25" customHeight="1">
      <c r="A320" s="121"/>
      <c r="B320" s="105"/>
      <c r="C320" s="105"/>
      <c r="D320" s="105"/>
      <c r="E320" s="105"/>
    </row>
    <row r="321" spans="1:5" ht="23.25" customHeight="1">
      <c r="A321" s="121"/>
      <c r="B321" s="105"/>
      <c r="C321" s="105"/>
      <c r="D321" s="105"/>
      <c r="E321" s="105"/>
    </row>
    <row r="322" spans="1:5" ht="23.25" customHeight="1">
      <c r="A322" s="121"/>
      <c r="B322" s="105"/>
      <c r="C322" s="105"/>
      <c r="D322" s="105"/>
      <c r="E322" s="105"/>
    </row>
    <row r="323" spans="1:5" ht="24" customHeight="1">
      <c r="A323" s="121"/>
      <c r="B323" s="105"/>
      <c r="C323" s="105"/>
      <c r="D323" s="105"/>
      <c r="E323" s="105"/>
    </row>
    <row r="324" spans="1:5" ht="24">
      <c r="A324" s="121"/>
      <c r="B324" s="105"/>
      <c r="C324" s="105"/>
      <c r="D324" s="105"/>
      <c r="E324" s="105"/>
    </row>
    <row r="325" spans="1:5" ht="24">
      <c r="A325" s="121"/>
      <c r="B325" s="105"/>
      <c r="C325" s="105"/>
      <c r="D325" s="105"/>
      <c r="E325" s="105"/>
    </row>
    <row r="326" spans="1:5" ht="24">
      <c r="A326" s="121"/>
      <c r="B326" s="105"/>
      <c r="C326" s="105"/>
      <c r="D326" s="105"/>
      <c r="E326" s="105"/>
    </row>
    <row r="327" spans="1:5" ht="24">
      <c r="A327" s="200" t="s">
        <v>73</v>
      </c>
      <c r="B327" s="200"/>
      <c r="C327" s="200"/>
      <c r="D327" s="200"/>
      <c r="E327" s="200"/>
    </row>
    <row r="328" spans="1:5" ht="24">
      <c r="A328" s="200" t="s">
        <v>208</v>
      </c>
      <c r="B328" s="200"/>
      <c r="C328" s="200"/>
      <c r="D328" s="200"/>
      <c r="E328" s="200"/>
    </row>
    <row r="329" spans="1:5" ht="24" customHeight="1">
      <c r="A329" s="201" t="s">
        <v>274</v>
      </c>
      <c r="B329" s="201"/>
      <c r="C329" s="201"/>
      <c r="D329" s="201"/>
      <c r="E329" s="86" t="s">
        <v>222</v>
      </c>
    </row>
    <row r="330" spans="1:5" ht="24">
      <c r="A330" s="143"/>
      <c r="B330" s="143"/>
      <c r="C330" s="143"/>
      <c r="D330" s="143"/>
      <c r="E330" s="144"/>
    </row>
    <row r="331" spans="1:5" ht="24">
      <c r="A331" s="89" t="s">
        <v>0</v>
      </c>
      <c r="B331" s="89" t="s">
        <v>7</v>
      </c>
      <c r="C331" s="89" t="s">
        <v>288</v>
      </c>
      <c r="D331" s="89" t="s">
        <v>187</v>
      </c>
      <c r="E331" s="89" t="s">
        <v>12</v>
      </c>
    </row>
    <row r="332" spans="1:5" ht="24">
      <c r="A332" s="98" t="s">
        <v>141</v>
      </c>
      <c r="B332" s="93"/>
      <c r="C332" s="93"/>
      <c r="D332" s="93"/>
      <c r="E332" s="93"/>
    </row>
    <row r="333" spans="1:5" ht="24">
      <c r="A333" s="92" t="s">
        <v>149</v>
      </c>
      <c r="B333" s="126">
        <v>50000</v>
      </c>
      <c r="C333" s="126">
        <v>50000</v>
      </c>
      <c r="D333" s="126">
        <v>18420</v>
      </c>
      <c r="E333" s="126">
        <f>B333-D333</f>
        <v>31580</v>
      </c>
    </row>
    <row r="334" spans="1:5" ht="24.75" thickBot="1">
      <c r="A334" s="100" t="s">
        <v>192</v>
      </c>
      <c r="B334" s="141">
        <f>SUM(B333)</f>
        <v>50000</v>
      </c>
      <c r="C334" s="141">
        <f>SUM(C333)</f>
        <v>50000</v>
      </c>
      <c r="D334" s="141">
        <f>SUM(D333)</f>
        <v>18420</v>
      </c>
      <c r="E334" s="141">
        <f>B334-D334</f>
        <v>31580</v>
      </c>
    </row>
    <row r="335" spans="1:5" ht="24.75" thickTop="1">
      <c r="A335" s="145"/>
      <c r="B335" s="105"/>
      <c r="C335" s="105"/>
      <c r="D335" s="105"/>
      <c r="E335" s="105"/>
    </row>
    <row r="336" spans="1:5" ht="24">
      <c r="A336" s="145"/>
      <c r="B336" s="105"/>
      <c r="C336" s="105"/>
      <c r="D336" s="105"/>
      <c r="E336" s="105"/>
    </row>
    <row r="337" spans="1:5" ht="24">
      <c r="A337" s="145"/>
      <c r="B337" s="105"/>
      <c r="C337" s="105"/>
      <c r="D337" s="105"/>
      <c r="E337" s="105"/>
    </row>
    <row r="338" spans="1:5" ht="24">
      <c r="A338" s="145"/>
      <c r="B338" s="105"/>
      <c r="C338" s="105"/>
      <c r="D338" s="105"/>
      <c r="E338" s="105"/>
    </row>
    <row r="339" spans="1:5" ht="24">
      <c r="A339" s="145"/>
      <c r="B339" s="105"/>
      <c r="C339" s="105"/>
      <c r="D339" s="105"/>
      <c r="E339" s="105"/>
    </row>
    <row r="340" spans="1:5" ht="24">
      <c r="A340" s="145"/>
      <c r="B340" s="105"/>
      <c r="C340" s="105"/>
      <c r="D340" s="105"/>
      <c r="E340" s="105"/>
    </row>
    <row r="341" spans="1:5" ht="24">
      <c r="A341" s="145"/>
      <c r="B341" s="105"/>
      <c r="C341" s="105"/>
      <c r="D341" s="105"/>
      <c r="E341" s="105"/>
    </row>
    <row r="342" spans="1:5" ht="24">
      <c r="A342" s="145"/>
      <c r="B342" s="105"/>
      <c r="C342" s="105"/>
      <c r="D342" s="105"/>
      <c r="E342" s="105"/>
    </row>
    <row r="343" spans="1:5" ht="24">
      <c r="A343" s="145"/>
      <c r="B343" s="105"/>
      <c r="C343" s="105"/>
      <c r="D343" s="105"/>
      <c r="E343" s="105"/>
    </row>
    <row r="344" spans="1:5" ht="24">
      <c r="A344" s="145"/>
      <c r="B344" s="105"/>
      <c r="C344" s="105"/>
      <c r="D344" s="105"/>
      <c r="E344" s="105"/>
    </row>
    <row r="345" spans="1:5" ht="24">
      <c r="A345" s="145"/>
      <c r="B345" s="105"/>
      <c r="C345" s="105"/>
      <c r="D345" s="105"/>
      <c r="E345" s="105"/>
    </row>
    <row r="346" spans="1:5" ht="24">
      <c r="A346" s="145"/>
      <c r="B346" s="105"/>
      <c r="C346" s="105"/>
      <c r="D346" s="105"/>
      <c r="E346" s="105"/>
    </row>
    <row r="347" spans="1:5" ht="24">
      <c r="A347" s="145"/>
      <c r="B347" s="105"/>
      <c r="C347" s="105"/>
      <c r="D347" s="105"/>
      <c r="E347" s="105"/>
    </row>
    <row r="348" spans="1:5" ht="24">
      <c r="A348" s="145"/>
      <c r="B348" s="105"/>
      <c r="C348" s="105"/>
      <c r="D348" s="105"/>
      <c r="E348" s="105"/>
    </row>
    <row r="349" spans="1:5" ht="24">
      <c r="A349" s="145"/>
      <c r="B349" s="105"/>
      <c r="C349" s="105"/>
      <c r="D349" s="105"/>
      <c r="E349" s="105"/>
    </row>
    <row r="350" spans="1:5" ht="24">
      <c r="A350" s="145"/>
      <c r="B350" s="105"/>
      <c r="C350" s="105"/>
      <c r="D350" s="105"/>
      <c r="E350" s="105"/>
    </row>
    <row r="351" spans="1:5" ht="24">
      <c r="A351" s="145"/>
      <c r="B351" s="105"/>
      <c r="C351" s="105"/>
      <c r="D351" s="105"/>
      <c r="E351" s="105"/>
    </row>
    <row r="352" spans="1:5" ht="24">
      <c r="A352" s="145"/>
      <c r="B352" s="105"/>
      <c r="C352" s="105"/>
      <c r="D352" s="105"/>
      <c r="E352" s="105"/>
    </row>
    <row r="353" spans="1:5" ht="24">
      <c r="A353" s="145"/>
      <c r="B353" s="105"/>
      <c r="C353" s="105"/>
      <c r="D353" s="105"/>
      <c r="E353" s="105"/>
    </row>
    <row r="354" spans="1:5" ht="24">
      <c r="A354" s="145"/>
      <c r="B354" s="105"/>
      <c r="C354" s="105"/>
      <c r="D354" s="105"/>
      <c r="E354" s="105"/>
    </row>
    <row r="355" spans="1:5" ht="24">
      <c r="A355" s="145"/>
      <c r="B355" s="105"/>
      <c r="C355" s="105"/>
      <c r="D355" s="105"/>
      <c r="E355" s="105"/>
    </row>
    <row r="356" spans="1:5" ht="24">
      <c r="A356" s="145"/>
      <c r="B356" s="105"/>
      <c r="C356" s="105"/>
      <c r="D356" s="105"/>
      <c r="E356" s="105"/>
    </row>
    <row r="357" spans="1:5" ht="24">
      <c r="A357" s="145"/>
      <c r="B357" s="105"/>
      <c r="C357" s="105"/>
      <c r="D357" s="105"/>
      <c r="E357" s="105"/>
    </row>
    <row r="358" spans="1:5" ht="24">
      <c r="A358" s="145"/>
      <c r="B358" s="105"/>
      <c r="C358" s="105"/>
      <c r="D358" s="105"/>
      <c r="E358" s="105"/>
    </row>
    <row r="359" spans="1:5" ht="24">
      <c r="A359" s="145"/>
      <c r="B359" s="105"/>
      <c r="C359" s="105"/>
      <c r="D359" s="105"/>
      <c r="E359" s="105"/>
    </row>
    <row r="360" spans="1:5" ht="24">
      <c r="A360" s="200" t="s">
        <v>73</v>
      </c>
      <c r="B360" s="200"/>
      <c r="C360" s="200"/>
      <c r="D360" s="200"/>
      <c r="E360" s="200"/>
    </row>
    <row r="361" spans="1:5" ht="24">
      <c r="A361" s="200" t="s">
        <v>209</v>
      </c>
      <c r="B361" s="200"/>
      <c r="C361" s="200"/>
      <c r="D361" s="200"/>
      <c r="E361" s="200"/>
    </row>
    <row r="362" spans="1:5" ht="24" customHeight="1">
      <c r="A362" s="201" t="s">
        <v>274</v>
      </c>
      <c r="B362" s="201"/>
      <c r="C362" s="201"/>
      <c r="D362" s="201"/>
      <c r="E362" s="86" t="s">
        <v>222</v>
      </c>
    </row>
    <row r="363" spans="1:5" ht="24">
      <c r="A363" s="82"/>
      <c r="B363" s="82"/>
      <c r="C363" s="82"/>
      <c r="D363" s="82"/>
      <c r="E363" s="82"/>
    </row>
    <row r="364" spans="1:5" ht="24">
      <c r="A364" s="89" t="s">
        <v>0</v>
      </c>
      <c r="B364" s="89" t="s">
        <v>7</v>
      </c>
      <c r="C364" s="89" t="s">
        <v>8</v>
      </c>
      <c r="D364" s="89" t="s">
        <v>187</v>
      </c>
      <c r="E364" s="89" t="s">
        <v>12</v>
      </c>
    </row>
    <row r="365" spans="1:5" ht="24">
      <c r="A365" s="92" t="s">
        <v>150</v>
      </c>
      <c r="B365" s="93">
        <v>693300</v>
      </c>
      <c r="C365" s="93">
        <f>B365-158490-158490</f>
        <v>376320</v>
      </c>
      <c r="D365" s="93">
        <v>161490</v>
      </c>
      <c r="E365" s="93">
        <f>C365-D365</f>
        <v>214830</v>
      </c>
    </row>
    <row r="366" spans="1:5" ht="24">
      <c r="A366" s="92" t="s">
        <v>80</v>
      </c>
      <c r="B366" s="93">
        <v>60000</v>
      </c>
      <c r="C366" s="93">
        <f>B366-10500-10500</f>
        <v>39000</v>
      </c>
      <c r="D366" s="93">
        <v>10500</v>
      </c>
      <c r="E366" s="93">
        <f>C366-D366</f>
        <v>28500</v>
      </c>
    </row>
    <row r="367" spans="1:5" ht="24">
      <c r="A367" s="92" t="s">
        <v>151</v>
      </c>
      <c r="B367" s="93">
        <v>210840</v>
      </c>
      <c r="C367" s="93">
        <f>B367-51810-51810</f>
        <v>107220</v>
      </c>
      <c r="D367" s="93">
        <v>52710</v>
      </c>
      <c r="E367" s="93">
        <f>C367-D367</f>
        <v>54510</v>
      </c>
    </row>
    <row r="368" spans="1:5" ht="24">
      <c r="A368" s="92" t="s">
        <v>82</v>
      </c>
      <c r="B368" s="93">
        <v>297480</v>
      </c>
      <c r="C368" s="93">
        <f>B368-73650-73650</f>
        <v>150180</v>
      </c>
      <c r="D368" s="93">
        <v>73650</v>
      </c>
      <c r="E368" s="93">
        <f>C368-D368</f>
        <v>76530</v>
      </c>
    </row>
    <row r="369" spans="1:5" ht="24">
      <c r="A369" s="92" t="s">
        <v>152</v>
      </c>
      <c r="B369" s="126">
        <v>48000</v>
      </c>
      <c r="C369" s="126">
        <f>B369-6060-6060</f>
        <v>35880</v>
      </c>
      <c r="D369" s="126">
        <v>6060</v>
      </c>
      <c r="E369" s="126">
        <f>C369-D369</f>
        <v>29820</v>
      </c>
    </row>
    <row r="370" spans="1:5" ht="24.75" thickBot="1">
      <c r="A370" s="94" t="s">
        <v>189</v>
      </c>
      <c r="B370" s="141">
        <f>SUM(B365:B369)</f>
        <v>1309620</v>
      </c>
      <c r="C370" s="141">
        <f>SUM(C365:C369)</f>
        <v>708600</v>
      </c>
      <c r="D370" s="141">
        <f>SUM(D365:D369)</f>
        <v>304410</v>
      </c>
      <c r="E370" s="141">
        <f>SUM(E365:E369)</f>
        <v>404190</v>
      </c>
    </row>
    <row r="371" spans="1:5" ht="24.75" thickTop="1">
      <c r="A371" s="101" t="s">
        <v>1</v>
      </c>
      <c r="B371" s="99"/>
      <c r="C371" s="99"/>
      <c r="D371" s="99"/>
      <c r="E371" s="99"/>
    </row>
    <row r="372" spans="1:5" ht="24">
      <c r="A372" s="92" t="s">
        <v>153</v>
      </c>
      <c r="B372" s="126">
        <v>10000</v>
      </c>
      <c r="C372" s="126">
        <v>10000</v>
      </c>
      <c r="D372" s="126">
        <v>0</v>
      </c>
      <c r="E372" s="126">
        <f>B372-D372</f>
        <v>10000</v>
      </c>
    </row>
    <row r="373" spans="1:5" ht="24.75" thickBot="1">
      <c r="A373" s="100" t="s">
        <v>191</v>
      </c>
      <c r="B373" s="141">
        <f>SUM(B372)</f>
        <v>10000</v>
      </c>
      <c r="C373" s="141">
        <f>SUM(C372)</f>
        <v>10000</v>
      </c>
      <c r="D373" s="141">
        <f>SUM(D372)</f>
        <v>0</v>
      </c>
      <c r="E373" s="141">
        <f>SUM(E372)</f>
        <v>10000</v>
      </c>
    </row>
    <row r="374" spans="1:5" ht="24.75" thickTop="1">
      <c r="A374" s="101" t="s">
        <v>154</v>
      </c>
      <c r="B374" s="99"/>
      <c r="C374" s="99"/>
      <c r="D374" s="99"/>
      <c r="E374" s="99"/>
    </row>
    <row r="375" spans="1:5" ht="24">
      <c r="A375" s="92" t="s">
        <v>117</v>
      </c>
      <c r="B375" s="93">
        <v>72660</v>
      </c>
      <c r="C375" s="93">
        <f>B375-17160</f>
        <v>55500</v>
      </c>
      <c r="D375" s="93">
        <v>55500</v>
      </c>
      <c r="E375" s="93">
        <f>C375-D375</f>
        <v>0</v>
      </c>
    </row>
    <row r="376" spans="1:5" ht="24">
      <c r="A376" s="92" t="s">
        <v>118</v>
      </c>
      <c r="B376" s="93">
        <v>10000</v>
      </c>
      <c r="C376" s="93">
        <v>10000</v>
      </c>
      <c r="D376" s="93">
        <v>0</v>
      </c>
      <c r="E376" s="93">
        <f>B376-D376</f>
        <v>10000</v>
      </c>
    </row>
    <row r="377" spans="1:5" ht="24">
      <c r="A377" s="92" t="s">
        <v>93</v>
      </c>
      <c r="B377" s="93">
        <v>40000</v>
      </c>
      <c r="C377" s="93">
        <f>B377</f>
        <v>40000</v>
      </c>
      <c r="D377" s="93">
        <v>7200</v>
      </c>
      <c r="E377" s="93">
        <f>B377-D377</f>
        <v>32800</v>
      </c>
    </row>
    <row r="378" spans="1:5" ht="24">
      <c r="A378" s="92" t="s">
        <v>120</v>
      </c>
      <c r="B378" s="126">
        <v>300000</v>
      </c>
      <c r="C378" s="126">
        <f>B378-7900</f>
        <v>292100</v>
      </c>
      <c r="D378" s="126">
        <v>269000</v>
      </c>
      <c r="E378" s="126">
        <f>C378-D378</f>
        <v>23100</v>
      </c>
    </row>
    <row r="379" spans="1:5" ht="24.75" thickBot="1">
      <c r="A379" s="94" t="s">
        <v>192</v>
      </c>
      <c r="B379" s="141">
        <f>SUM(B375:B378)</f>
        <v>422660</v>
      </c>
      <c r="C379" s="141">
        <f>SUM(C375:C378)</f>
        <v>397600</v>
      </c>
      <c r="D379" s="141">
        <f>SUM(D375:D378)</f>
        <v>331700</v>
      </c>
      <c r="E379" s="141">
        <f>SUM(E375:E378)</f>
        <v>65900</v>
      </c>
    </row>
    <row r="380" spans="1:5" ht="24.75" thickTop="1">
      <c r="A380" s="98" t="s">
        <v>140</v>
      </c>
      <c r="B380" s="99"/>
      <c r="C380" s="99"/>
      <c r="D380" s="99"/>
      <c r="E380" s="99"/>
    </row>
    <row r="381" spans="1:5" ht="24">
      <c r="A381" s="92" t="s">
        <v>101</v>
      </c>
      <c r="B381" s="93">
        <v>30000</v>
      </c>
      <c r="C381" s="93">
        <v>30000</v>
      </c>
      <c r="D381" s="93">
        <v>0</v>
      </c>
      <c r="E381" s="93">
        <f>B381-D381</f>
        <v>30000</v>
      </c>
    </row>
    <row r="382" spans="1:5" ht="24">
      <c r="A382" s="92" t="s">
        <v>155</v>
      </c>
      <c r="B382" s="93">
        <v>200000</v>
      </c>
      <c r="C382" s="93">
        <f>B382-5755</f>
        <v>194245</v>
      </c>
      <c r="D382" s="93">
        <v>0</v>
      </c>
      <c r="E382" s="93">
        <f>C382-D382</f>
        <v>194245</v>
      </c>
    </row>
    <row r="383" spans="1:5" ht="24">
      <c r="A383" s="92" t="s">
        <v>156</v>
      </c>
      <c r="B383" s="93">
        <v>5000</v>
      </c>
      <c r="C383" s="93">
        <v>5000</v>
      </c>
      <c r="D383" s="93">
        <v>0</v>
      </c>
      <c r="E383" s="93">
        <f>B383-D383</f>
        <v>5000</v>
      </c>
    </row>
    <row r="384" spans="1:5" ht="24">
      <c r="A384" s="92" t="s">
        <v>104</v>
      </c>
      <c r="B384" s="93">
        <v>30000</v>
      </c>
      <c r="C384" s="93">
        <f>B384-680-6600</f>
        <v>22720</v>
      </c>
      <c r="D384" s="93">
        <v>17628</v>
      </c>
      <c r="E384" s="93">
        <f>C384-D384</f>
        <v>5092</v>
      </c>
    </row>
    <row r="385" spans="1:5" ht="24.75" thickBot="1">
      <c r="A385" s="100" t="s">
        <v>193</v>
      </c>
      <c r="B385" s="95">
        <f>SUM(B381:B384)</f>
        <v>265000</v>
      </c>
      <c r="C385" s="95">
        <f>SUM(C381:C384)</f>
        <v>251965</v>
      </c>
      <c r="D385" s="95">
        <f>SUM(D381:D384)</f>
        <v>17628</v>
      </c>
      <c r="E385" s="95">
        <f>SUM(E381:E384)</f>
        <v>234337</v>
      </c>
    </row>
    <row r="386" spans="1:5" ht="24.75" thickTop="1">
      <c r="A386" s="98" t="s">
        <v>157</v>
      </c>
      <c r="B386" s="99"/>
      <c r="C386" s="99"/>
      <c r="D386" s="99"/>
      <c r="E386" s="99"/>
    </row>
    <row r="387" spans="1:5" ht="24">
      <c r="A387" s="92" t="s">
        <v>251</v>
      </c>
      <c r="B387" s="93">
        <v>120000</v>
      </c>
      <c r="C387" s="93">
        <v>120000</v>
      </c>
      <c r="D387" s="93">
        <v>0</v>
      </c>
      <c r="E387" s="93">
        <f>B387-D387</f>
        <v>120000</v>
      </c>
    </row>
    <row r="388" spans="1:5" ht="24">
      <c r="A388" s="146" t="s">
        <v>233</v>
      </c>
      <c r="B388" s="126">
        <v>16500</v>
      </c>
      <c r="C388" s="126">
        <v>16500</v>
      </c>
      <c r="D388" s="126">
        <v>0</v>
      </c>
      <c r="E388" s="126">
        <v>16500</v>
      </c>
    </row>
    <row r="389" spans="1:5" ht="24">
      <c r="A389" s="146" t="s">
        <v>234</v>
      </c>
      <c r="B389" s="126">
        <v>22500</v>
      </c>
      <c r="C389" s="126">
        <v>22500</v>
      </c>
      <c r="D389" s="126">
        <v>0</v>
      </c>
      <c r="E389" s="126">
        <v>22500</v>
      </c>
    </row>
    <row r="390" spans="1:5" ht="24.75" thickBot="1">
      <c r="A390" s="139" t="s">
        <v>210</v>
      </c>
      <c r="B390" s="95">
        <f>SUM(B387:B389)</f>
        <v>159000</v>
      </c>
      <c r="C390" s="95">
        <f>SUM(C387:C389)</f>
        <v>159000</v>
      </c>
      <c r="D390" s="95">
        <f>SUM(D387)</f>
        <v>0</v>
      </c>
      <c r="E390" s="95">
        <f>SUM(E387:E389)</f>
        <v>159000</v>
      </c>
    </row>
    <row r="391" spans="1:5" ht="24.75" thickTop="1">
      <c r="A391" s="101" t="s">
        <v>158</v>
      </c>
      <c r="B391" s="99"/>
      <c r="C391" s="99"/>
      <c r="D391" s="99"/>
      <c r="E391" s="99"/>
    </row>
    <row r="392" spans="1:5" ht="24">
      <c r="A392" s="92" t="s">
        <v>159</v>
      </c>
      <c r="B392" s="93">
        <v>200000</v>
      </c>
      <c r="C392" s="93">
        <f>B392</f>
        <v>200000</v>
      </c>
      <c r="D392" s="93">
        <v>0</v>
      </c>
      <c r="E392" s="93">
        <f>B392-D392</f>
        <v>200000</v>
      </c>
    </row>
    <row r="393" spans="1:5" ht="24.75" thickBot="1">
      <c r="A393" s="100" t="s">
        <v>196</v>
      </c>
      <c r="B393" s="95">
        <f>SUM(B392:B392)</f>
        <v>200000</v>
      </c>
      <c r="C393" s="95">
        <f>SUM(C392)</f>
        <v>200000</v>
      </c>
      <c r="D393" s="95">
        <f>SUM(D392:D392)</f>
        <v>0</v>
      </c>
      <c r="E393" s="95">
        <f>B393-D393</f>
        <v>200000</v>
      </c>
    </row>
    <row r="394" spans="1:5" ht="24.75" thickTop="1">
      <c r="A394" s="145"/>
      <c r="B394" s="105"/>
      <c r="C394" s="105"/>
      <c r="D394" s="105"/>
      <c r="E394" s="105"/>
    </row>
    <row r="395" spans="1:5" ht="24">
      <c r="A395" s="200" t="s">
        <v>73</v>
      </c>
      <c r="B395" s="200"/>
      <c r="C395" s="200"/>
      <c r="D395" s="200"/>
      <c r="E395" s="200"/>
    </row>
    <row r="396" spans="1:5" ht="24">
      <c r="A396" s="200" t="s">
        <v>211</v>
      </c>
      <c r="B396" s="200"/>
      <c r="C396" s="200"/>
      <c r="D396" s="200"/>
      <c r="E396" s="200"/>
    </row>
    <row r="397" spans="1:5" ht="24" customHeight="1">
      <c r="A397" s="201" t="s">
        <v>274</v>
      </c>
      <c r="B397" s="201"/>
      <c r="C397" s="201"/>
      <c r="D397" s="201"/>
      <c r="E397" s="86" t="s">
        <v>222</v>
      </c>
    </row>
    <row r="398" spans="1:5" ht="24">
      <c r="A398" s="147"/>
      <c r="B398" s="148"/>
      <c r="C398" s="148"/>
      <c r="D398" s="148"/>
      <c r="E398" s="149"/>
    </row>
    <row r="399" spans="1:5" ht="24">
      <c r="A399" s="89" t="s">
        <v>0</v>
      </c>
      <c r="B399" s="89" t="s">
        <v>7</v>
      </c>
      <c r="C399" s="89" t="s">
        <v>8</v>
      </c>
      <c r="D399" s="89" t="s">
        <v>187</v>
      </c>
      <c r="E399" s="89" t="s">
        <v>12</v>
      </c>
    </row>
    <row r="400" spans="1:5" ht="24">
      <c r="A400" s="150" t="s">
        <v>109</v>
      </c>
      <c r="B400" s="151"/>
      <c r="C400" s="151"/>
      <c r="D400" s="151"/>
      <c r="E400" s="151"/>
    </row>
    <row r="401" spans="1:5" ht="24">
      <c r="A401" s="150" t="s">
        <v>5</v>
      </c>
      <c r="B401" s="151"/>
      <c r="C401" s="151"/>
      <c r="D401" s="151"/>
      <c r="E401" s="151"/>
    </row>
    <row r="402" spans="1:5" ht="24">
      <c r="A402" s="92" t="s">
        <v>252</v>
      </c>
      <c r="B402" s="93">
        <v>732000</v>
      </c>
      <c r="C402" s="93">
        <v>732000</v>
      </c>
      <c r="D402" s="93">
        <v>0</v>
      </c>
      <c r="E402" s="93">
        <f aca="true" t="shared" si="5" ref="E402:E415">B402-D402</f>
        <v>732000</v>
      </c>
    </row>
    <row r="403" spans="1:5" ht="24" customHeight="1">
      <c r="A403" s="92" t="s">
        <v>253</v>
      </c>
      <c r="B403" s="93">
        <v>353000</v>
      </c>
      <c r="C403" s="93">
        <v>353000</v>
      </c>
      <c r="D403" s="93">
        <v>0</v>
      </c>
      <c r="E403" s="93">
        <f t="shared" si="5"/>
        <v>353000</v>
      </c>
    </row>
    <row r="404" spans="1:5" ht="24">
      <c r="A404" s="92" t="s">
        <v>254</v>
      </c>
      <c r="B404" s="93">
        <v>531000</v>
      </c>
      <c r="C404" s="93">
        <v>531000</v>
      </c>
      <c r="D404" s="93">
        <v>0</v>
      </c>
      <c r="E404" s="93">
        <f t="shared" si="5"/>
        <v>531000</v>
      </c>
    </row>
    <row r="405" spans="1:5" ht="24">
      <c r="A405" s="92" t="s">
        <v>255</v>
      </c>
      <c r="B405" s="93">
        <v>342000</v>
      </c>
      <c r="C405" s="93">
        <v>342000</v>
      </c>
      <c r="D405" s="93">
        <v>0</v>
      </c>
      <c r="E405" s="93">
        <f t="shared" si="5"/>
        <v>342000</v>
      </c>
    </row>
    <row r="406" spans="1:5" ht="24">
      <c r="A406" s="92" t="s">
        <v>256</v>
      </c>
      <c r="B406" s="93">
        <v>47000</v>
      </c>
      <c r="C406" s="93">
        <v>0</v>
      </c>
      <c r="D406" s="93">
        <v>0</v>
      </c>
      <c r="E406" s="93">
        <v>0</v>
      </c>
    </row>
    <row r="407" spans="1:5" ht="24">
      <c r="A407" s="92" t="s">
        <v>257</v>
      </c>
      <c r="B407" s="93">
        <v>34000</v>
      </c>
      <c r="C407" s="93">
        <v>0</v>
      </c>
      <c r="D407" s="93">
        <v>0</v>
      </c>
      <c r="E407" s="93">
        <v>0</v>
      </c>
    </row>
    <row r="408" spans="1:5" ht="24" customHeight="1">
      <c r="A408" s="92" t="s">
        <v>258</v>
      </c>
      <c r="B408" s="93">
        <v>452000</v>
      </c>
      <c r="C408" s="93">
        <f>B408</f>
        <v>452000</v>
      </c>
      <c r="D408" s="93">
        <v>452000</v>
      </c>
      <c r="E408" s="93">
        <f t="shared" si="5"/>
        <v>0</v>
      </c>
    </row>
    <row r="409" spans="1:5" ht="48">
      <c r="A409" s="92" t="s">
        <v>259</v>
      </c>
      <c r="B409" s="93">
        <v>466000</v>
      </c>
      <c r="C409" s="93">
        <f>B409</f>
        <v>466000</v>
      </c>
      <c r="D409" s="93">
        <v>465000</v>
      </c>
      <c r="E409" s="93">
        <f t="shared" si="5"/>
        <v>1000</v>
      </c>
    </row>
    <row r="410" spans="1:5" ht="48">
      <c r="A410" s="92" t="s">
        <v>260</v>
      </c>
      <c r="B410" s="93">
        <v>805000</v>
      </c>
      <c r="C410" s="93">
        <v>805000</v>
      </c>
      <c r="D410" s="93">
        <v>0</v>
      </c>
      <c r="E410" s="93">
        <f t="shared" si="5"/>
        <v>805000</v>
      </c>
    </row>
    <row r="411" spans="1:5" ht="48">
      <c r="A411" s="92" t="s">
        <v>261</v>
      </c>
      <c r="B411" s="93">
        <v>580000</v>
      </c>
      <c r="C411" s="93">
        <v>580000</v>
      </c>
      <c r="D411" s="93">
        <v>497000</v>
      </c>
      <c r="E411" s="93">
        <f t="shared" si="5"/>
        <v>83000</v>
      </c>
    </row>
    <row r="412" spans="1:5" ht="24">
      <c r="A412" s="92" t="s">
        <v>262</v>
      </c>
      <c r="B412" s="93">
        <v>112000</v>
      </c>
      <c r="C412" s="93">
        <v>112000</v>
      </c>
      <c r="D412" s="93">
        <v>0</v>
      </c>
      <c r="E412" s="93">
        <f t="shared" si="5"/>
        <v>112000</v>
      </c>
    </row>
    <row r="413" spans="1:5" ht="24">
      <c r="A413" s="152" t="s">
        <v>263</v>
      </c>
      <c r="B413" s="126">
        <v>112000</v>
      </c>
      <c r="C413" s="126">
        <v>112000</v>
      </c>
      <c r="D413" s="126">
        <v>0</v>
      </c>
      <c r="E413" s="126">
        <f t="shared" si="5"/>
        <v>112000</v>
      </c>
    </row>
    <row r="414" spans="1:5" ht="48">
      <c r="A414" s="152" t="s">
        <v>264</v>
      </c>
      <c r="B414" s="126">
        <v>409000</v>
      </c>
      <c r="C414" s="126">
        <v>409000</v>
      </c>
      <c r="D414" s="126">
        <v>0</v>
      </c>
      <c r="E414" s="126">
        <f t="shared" si="5"/>
        <v>409000</v>
      </c>
    </row>
    <row r="415" spans="1:5" ht="48">
      <c r="A415" s="152" t="s">
        <v>265</v>
      </c>
      <c r="B415" s="126">
        <v>593000</v>
      </c>
      <c r="C415" s="126">
        <v>593000</v>
      </c>
      <c r="D415" s="126">
        <v>0</v>
      </c>
      <c r="E415" s="126">
        <f t="shared" si="5"/>
        <v>593000</v>
      </c>
    </row>
    <row r="416" spans="1:5" ht="24.75" thickBot="1">
      <c r="A416" s="167" t="s">
        <v>196</v>
      </c>
      <c r="B416" s="95">
        <f>SUM(B402:B415)</f>
        <v>5568000</v>
      </c>
      <c r="C416" s="95">
        <f>SUM(C402:C415)</f>
        <v>5487000</v>
      </c>
      <c r="D416" s="95">
        <f>SUM(D402:D415)</f>
        <v>1414000</v>
      </c>
      <c r="E416" s="95">
        <f>SUM(E402:E415)</f>
        <v>4073000</v>
      </c>
    </row>
    <row r="417" spans="1:5" ht="24.75" thickTop="1">
      <c r="A417" s="101" t="s">
        <v>109</v>
      </c>
      <c r="B417" s="99"/>
      <c r="C417" s="99"/>
      <c r="D417" s="99"/>
      <c r="E417" s="99"/>
    </row>
    <row r="418" spans="1:5" ht="24">
      <c r="A418" s="92" t="s">
        <v>266</v>
      </c>
      <c r="B418" s="93">
        <v>623000</v>
      </c>
      <c r="C418" s="120">
        <v>677.18</v>
      </c>
      <c r="D418" s="120">
        <v>0</v>
      </c>
      <c r="E418" s="120">
        <f>C418-D418</f>
        <v>677.18</v>
      </c>
    </row>
    <row r="419" spans="1:5" ht="24.75" thickBot="1">
      <c r="A419" s="168" t="s">
        <v>267</v>
      </c>
      <c r="B419" s="95">
        <f>SUM(B418)</f>
        <v>623000</v>
      </c>
      <c r="C419" s="95">
        <f>SUM(C418)</f>
        <v>677.18</v>
      </c>
      <c r="D419" s="95">
        <f>SUM(D418)</f>
        <v>0</v>
      </c>
      <c r="E419" s="95">
        <f>SUM(E418)</f>
        <v>677.18</v>
      </c>
    </row>
    <row r="420" spans="1:5" ht="24.75" thickTop="1">
      <c r="A420" s="121"/>
      <c r="B420" s="105"/>
      <c r="C420" s="105"/>
      <c r="D420" s="105"/>
      <c r="E420" s="105"/>
    </row>
    <row r="421" spans="1:5" ht="24">
      <c r="A421" s="121"/>
      <c r="B421" s="105"/>
      <c r="C421" s="105"/>
      <c r="D421" s="105"/>
      <c r="E421" s="105"/>
    </row>
    <row r="422" spans="1:5" ht="24">
      <c r="A422" s="121"/>
      <c r="B422" s="105"/>
      <c r="C422" s="105"/>
      <c r="D422" s="105"/>
      <c r="E422" s="105"/>
    </row>
    <row r="423" spans="1:5" ht="24">
      <c r="A423" s="121"/>
      <c r="B423" s="105"/>
      <c r="C423" s="105"/>
      <c r="D423" s="105"/>
      <c r="E423" s="105"/>
    </row>
    <row r="424" spans="1:5" ht="24">
      <c r="A424" s="121"/>
      <c r="B424" s="105"/>
      <c r="C424" s="105"/>
      <c r="D424" s="105"/>
      <c r="E424" s="105"/>
    </row>
    <row r="425" spans="1:5" ht="24">
      <c r="A425" s="121"/>
      <c r="B425" s="105"/>
      <c r="C425" s="105"/>
      <c r="D425" s="105"/>
      <c r="E425" s="105"/>
    </row>
    <row r="426" spans="1:5" ht="24">
      <c r="A426" s="200" t="s">
        <v>73</v>
      </c>
      <c r="B426" s="200"/>
      <c r="C426" s="200"/>
      <c r="D426" s="200"/>
      <c r="E426" s="200"/>
    </row>
    <row r="427" spans="1:5" ht="24">
      <c r="A427" s="200" t="s">
        <v>212</v>
      </c>
      <c r="B427" s="200"/>
      <c r="C427" s="200"/>
      <c r="D427" s="200"/>
      <c r="E427" s="200"/>
    </row>
    <row r="428" spans="1:5" ht="24" customHeight="1">
      <c r="A428" s="201" t="s">
        <v>274</v>
      </c>
      <c r="B428" s="201"/>
      <c r="C428" s="201"/>
      <c r="D428" s="201"/>
      <c r="E428" s="86" t="s">
        <v>222</v>
      </c>
    </row>
    <row r="429" spans="1:5" ht="24">
      <c r="A429" s="147"/>
      <c r="B429" s="148"/>
      <c r="C429" s="148"/>
      <c r="D429" s="148"/>
      <c r="E429" s="149"/>
    </row>
    <row r="430" spans="1:5" ht="24">
      <c r="A430" s="89" t="s">
        <v>0</v>
      </c>
      <c r="B430" s="89" t="s">
        <v>7</v>
      </c>
      <c r="C430" s="89" t="s">
        <v>8</v>
      </c>
      <c r="D430" s="89" t="s">
        <v>187</v>
      </c>
      <c r="E430" s="89" t="s">
        <v>12</v>
      </c>
    </row>
    <row r="431" spans="1:5" ht="24">
      <c r="A431" s="117" t="s">
        <v>2</v>
      </c>
      <c r="B431" s="120"/>
      <c r="C431" s="120"/>
      <c r="D431" s="120"/>
      <c r="E431" s="120"/>
    </row>
    <row r="432" spans="1:5" ht="24">
      <c r="A432" s="146" t="s">
        <v>268</v>
      </c>
      <c r="B432" s="93">
        <v>50000</v>
      </c>
      <c r="C432" s="93">
        <v>50000</v>
      </c>
      <c r="D432" s="93">
        <v>0</v>
      </c>
      <c r="E432" s="93">
        <f>B432-D432</f>
        <v>50000</v>
      </c>
    </row>
    <row r="433" spans="1:5" ht="24.75" thickBot="1">
      <c r="A433" s="139" t="s">
        <v>192</v>
      </c>
      <c r="B433" s="95">
        <f>SUM(B432)</f>
        <v>50000</v>
      </c>
      <c r="C433" s="95">
        <f>SUM(C432)</f>
        <v>50000</v>
      </c>
      <c r="D433" s="95">
        <f>SUM(D432)</f>
        <v>0</v>
      </c>
      <c r="E433" s="95">
        <f>SUM(E432)</f>
        <v>50000</v>
      </c>
    </row>
    <row r="434" spans="1:5" ht="24.75" thickTop="1">
      <c r="A434" s="117" t="s">
        <v>140</v>
      </c>
      <c r="B434" s="99"/>
      <c r="C434" s="99"/>
      <c r="D434" s="99"/>
      <c r="E434" s="99"/>
    </row>
    <row r="435" spans="1:5" ht="24">
      <c r="A435" s="146" t="s">
        <v>160</v>
      </c>
      <c r="B435" s="93">
        <v>230000</v>
      </c>
      <c r="C435" s="93">
        <f>B435-24560-38100</f>
        <v>167340</v>
      </c>
      <c r="D435" s="93">
        <v>38600</v>
      </c>
      <c r="E435" s="93">
        <f>C435-D435</f>
        <v>128740</v>
      </c>
    </row>
    <row r="436" spans="1:5" ht="24.75" thickBot="1">
      <c r="A436" s="139" t="s">
        <v>193</v>
      </c>
      <c r="B436" s="95">
        <f>SUM(B435)</f>
        <v>230000</v>
      </c>
      <c r="C436" s="95">
        <f>SUM(C435)</f>
        <v>167340</v>
      </c>
      <c r="D436" s="95">
        <f>SUM(D435)</f>
        <v>38600</v>
      </c>
      <c r="E436" s="95">
        <f>SUM(E435)</f>
        <v>128740</v>
      </c>
    </row>
    <row r="437" spans="1:5" ht="24.75" thickTop="1">
      <c r="A437" s="117" t="s">
        <v>157</v>
      </c>
      <c r="B437" s="99"/>
      <c r="C437" s="99"/>
      <c r="D437" s="99"/>
      <c r="E437" s="99"/>
    </row>
    <row r="438" spans="1:5" ht="24">
      <c r="A438" s="146" t="s">
        <v>111</v>
      </c>
      <c r="B438" s="93">
        <v>100000</v>
      </c>
      <c r="C438" s="93">
        <f>B438-55566.17</f>
        <v>44433.83</v>
      </c>
      <c r="D438" s="93">
        <v>0</v>
      </c>
      <c r="E438" s="93">
        <f>C438</f>
        <v>44433.83</v>
      </c>
    </row>
    <row r="439" spans="1:5" ht="24.75" thickBot="1">
      <c r="A439" s="137" t="s">
        <v>195</v>
      </c>
      <c r="B439" s="95">
        <f>SUM(B438)</f>
        <v>100000</v>
      </c>
      <c r="C439" s="95">
        <f>SUM(C438)</f>
        <v>44433.83</v>
      </c>
      <c r="D439" s="95">
        <f>SUM(D438)</f>
        <v>0</v>
      </c>
      <c r="E439" s="95">
        <f>SUM(E438)</f>
        <v>44433.83</v>
      </c>
    </row>
    <row r="440" spans="1:5" ht="24.75" thickTop="1">
      <c r="A440" s="121"/>
      <c r="B440" s="105"/>
      <c r="C440" s="105"/>
      <c r="D440" s="105"/>
      <c r="E440" s="105"/>
    </row>
    <row r="441" spans="1:5" ht="24">
      <c r="A441" s="121"/>
      <c r="B441" s="105"/>
      <c r="C441" s="105"/>
      <c r="D441" s="105"/>
      <c r="E441" s="105"/>
    </row>
    <row r="442" spans="1:5" ht="24">
      <c r="A442" s="121"/>
      <c r="B442" s="105"/>
      <c r="C442" s="105"/>
      <c r="D442" s="105"/>
      <c r="E442" s="105"/>
    </row>
    <row r="443" spans="1:5" ht="24">
      <c r="A443" s="121"/>
      <c r="B443" s="105"/>
      <c r="C443" s="105"/>
      <c r="D443" s="105"/>
      <c r="E443" s="105"/>
    </row>
    <row r="444" spans="1:5" ht="24">
      <c r="A444" s="121"/>
      <c r="B444" s="105"/>
      <c r="C444" s="105"/>
      <c r="D444" s="105"/>
      <c r="E444" s="105"/>
    </row>
    <row r="445" spans="1:5" ht="24">
      <c r="A445" s="121"/>
      <c r="B445" s="105"/>
      <c r="C445" s="105"/>
      <c r="D445" s="105"/>
      <c r="E445" s="105"/>
    </row>
    <row r="446" spans="1:5" ht="24">
      <c r="A446" s="121"/>
      <c r="B446" s="105"/>
      <c r="C446" s="105"/>
      <c r="D446" s="105"/>
      <c r="E446" s="105"/>
    </row>
    <row r="447" spans="1:5" ht="24">
      <c r="A447" s="121"/>
      <c r="B447" s="105"/>
      <c r="C447" s="105"/>
      <c r="D447" s="105"/>
      <c r="E447" s="105"/>
    </row>
    <row r="448" spans="1:5" ht="24">
      <c r="A448" s="121"/>
      <c r="B448" s="105"/>
      <c r="C448" s="105"/>
      <c r="D448" s="105"/>
      <c r="E448" s="105"/>
    </row>
    <row r="449" spans="1:5" ht="24">
      <c r="A449" s="121"/>
      <c r="B449" s="105"/>
      <c r="C449" s="105"/>
      <c r="D449" s="105"/>
      <c r="E449" s="105"/>
    </row>
    <row r="450" spans="1:5" ht="24">
      <c r="A450" s="121"/>
      <c r="B450" s="105"/>
      <c r="C450" s="105"/>
      <c r="D450" s="105"/>
      <c r="E450" s="105"/>
    </row>
    <row r="451" spans="1:5" ht="24">
      <c r="A451" s="121"/>
      <c r="B451" s="105"/>
      <c r="C451" s="105"/>
      <c r="D451" s="105"/>
      <c r="E451" s="105"/>
    </row>
    <row r="452" spans="1:5" ht="24">
      <c r="A452" s="121"/>
      <c r="B452" s="105"/>
      <c r="C452" s="105"/>
      <c r="D452" s="105"/>
      <c r="E452" s="105"/>
    </row>
    <row r="453" spans="1:5" ht="24">
      <c r="A453" s="121"/>
      <c r="B453" s="105"/>
      <c r="C453" s="105"/>
      <c r="D453" s="105"/>
      <c r="E453" s="105"/>
    </row>
    <row r="454" spans="1:5" ht="24">
      <c r="A454" s="121"/>
      <c r="B454" s="105"/>
      <c r="C454" s="105"/>
      <c r="D454" s="105"/>
      <c r="E454" s="105"/>
    </row>
    <row r="455" spans="1:5" ht="24">
      <c r="A455" s="121"/>
      <c r="B455" s="105"/>
      <c r="C455" s="105"/>
      <c r="D455" s="105"/>
      <c r="E455" s="105"/>
    </row>
    <row r="456" spans="1:5" ht="24">
      <c r="A456" s="121"/>
      <c r="B456" s="105"/>
      <c r="C456" s="105"/>
      <c r="D456" s="105"/>
      <c r="E456" s="105"/>
    </row>
    <row r="457" spans="1:5" ht="24">
      <c r="A457" s="121"/>
      <c r="B457" s="105"/>
      <c r="C457" s="105"/>
      <c r="D457" s="105"/>
      <c r="E457" s="105"/>
    </row>
    <row r="458" spans="1:5" ht="24">
      <c r="A458" s="121"/>
      <c r="B458" s="105"/>
      <c r="C458" s="105"/>
      <c r="D458" s="105"/>
      <c r="E458" s="105"/>
    </row>
    <row r="459" spans="1:5" ht="24">
      <c r="A459" s="121"/>
      <c r="B459" s="105"/>
      <c r="C459" s="105"/>
      <c r="D459" s="105"/>
      <c r="E459" s="105"/>
    </row>
    <row r="460" spans="1:5" ht="24">
      <c r="A460" s="200" t="s">
        <v>73</v>
      </c>
      <c r="B460" s="200"/>
      <c r="C460" s="200"/>
      <c r="D460" s="200"/>
      <c r="E460" s="200"/>
    </row>
    <row r="461" spans="1:5" ht="24">
      <c r="A461" s="200" t="s">
        <v>213</v>
      </c>
      <c r="B461" s="200"/>
      <c r="C461" s="200"/>
      <c r="D461" s="200"/>
      <c r="E461" s="200"/>
    </row>
    <row r="462" spans="1:5" ht="24" customHeight="1">
      <c r="A462" s="201" t="s">
        <v>274</v>
      </c>
      <c r="B462" s="201"/>
      <c r="C462" s="201"/>
      <c r="D462" s="201"/>
      <c r="E462" s="86" t="s">
        <v>222</v>
      </c>
    </row>
    <row r="463" spans="1:5" ht="24">
      <c r="A463" s="153"/>
      <c r="B463" s="105"/>
      <c r="C463" s="105"/>
      <c r="D463" s="105"/>
      <c r="E463" s="105"/>
    </row>
    <row r="464" spans="1:5" ht="24">
      <c r="A464" s="89" t="s">
        <v>0</v>
      </c>
      <c r="B464" s="89" t="s">
        <v>7</v>
      </c>
      <c r="C464" s="89" t="s">
        <v>8</v>
      </c>
      <c r="D464" s="89" t="s">
        <v>187</v>
      </c>
      <c r="E464" s="89" t="s">
        <v>12</v>
      </c>
    </row>
    <row r="465" spans="1:5" ht="24">
      <c r="A465" s="98" t="s">
        <v>2</v>
      </c>
      <c r="B465" s="93"/>
      <c r="C465" s="93"/>
      <c r="D465" s="93"/>
      <c r="E465" s="93"/>
    </row>
    <row r="466" spans="1:5" ht="24">
      <c r="A466" s="92" t="s">
        <v>161</v>
      </c>
      <c r="B466" s="93">
        <v>5000</v>
      </c>
      <c r="C466" s="93">
        <f>B466-600</f>
        <v>4400</v>
      </c>
      <c r="D466" s="93">
        <v>0</v>
      </c>
      <c r="E466" s="93">
        <f>C466-D466</f>
        <v>4400</v>
      </c>
    </row>
    <row r="467" spans="1:5" ht="24">
      <c r="A467" s="92" t="s">
        <v>162</v>
      </c>
      <c r="B467" s="93">
        <v>10000</v>
      </c>
      <c r="C467" s="93">
        <v>10000</v>
      </c>
      <c r="D467" s="93">
        <v>9920</v>
      </c>
      <c r="E467" s="93">
        <f>C467-D467</f>
        <v>80</v>
      </c>
    </row>
    <row r="468" spans="1:5" ht="24">
      <c r="A468" s="92" t="s">
        <v>163</v>
      </c>
      <c r="B468" s="126">
        <v>10000</v>
      </c>
      <c r="C468" s="126">
        <v>10000</v>
      </c>
      <c r="D468" s="126">
        <v>0</v>
      </c>
      <c r="E468" s="93">
        <f>C468-D468</f>
        <v>10000</v>
      </c>
    </row>
    <row r="469" spans="1:5" ht="24.75" thickBot="1">
      <c r="A469" s="137" t="s">
        <v>192</v>
      </c>
      <c r="B469" s="141">
        <f>SUM(B466:B468)</f>
        <v>25000</v>
      </c>
      <c r="C469" s="141">
        <f>SUM(C466:C468)</f>
        <v>24400</v>
      </c>
      <c r="D469" s="141">
        <f>SUM(D466:D468)</f>
        <v>9920</v>
      </c>
      <c r="E469" s="141">
        <f>SUM(E466:E468)</f>
        <v>14480</v>
      </c>
    </row>
    <row r="470" spans="1:5" ht="24.75" thickTop="1">
      <c r="A470" s="121"/>
      <c r="B470" s="105"/>
      <c r="C470" s="105"/>
      <c r="D470" s="105"/>
      <c r="E470" s="105"/>
    </row>
    <row r="471" spans="1:5" ht="24">
      <c r="A471" s="121"/>
      <c r="B471" s="105"/>
      <c r="C471" s="105"/>
      <c r="D471" s="105"/>
      <c r="E471" s="105"/>
    </row>
    <row r="472" spans="1:5" ht="24">
      <c r="A472" s="121"/>
      <c r="B472" s="105"/>
      <c r="C472" s="105"/>
      <c r="D472" s="105"/>
      <c r="E472" s="105"/>
    </row>
    <row r="473" spans="1:5" ht="24">
      <c r="A473" s="121"/>
      <c r="B473" s="105"/>
      <c r="C473" s="105"/>
      <c r="D473" s="105"/>
      <c r="E473" s="105"/>
    </row>
    <row r="474" spans="1:5" ht="24">
      <c r="A474" s="121"/>
      <c r="B474" s="105"/>
      <c r="C474" s="105"/>
      <c r="D474" s="105"/>
      <c r="E474" s="105"/>
    </row>
    <row r="475" spans="1:5" ht="24">
      <c r="A475" s="121"/>
      <c r="B475" s="105"/>
      <c r="C475" s="105"/>
      <c r="D475" s="105"/>
      <c r="E475" s="105"/>
    </row>
    <row r="476" spans="1:5" ht="24">
      <c r="A476" s="121"/>
      <c r="B476" s="105"/>
      <c r="C476" s="105"/>
      <c r="D476" s="105"/>
      <c r="E476" s="105"/>
    </row>
    <row r="477" spans="1:5" ht="24">
      <c r="A477" s="121"/>
      <c r="B477" s="105"/>
      <c r="C477" s="105"/>
      <c r="D477" s="105"/>
      <c r="E477" s="105"/>
    </row>
    <row r="478" spans="1:5" ht="24">
      <c r="A478" s="121"/>
      <c r="B478" s="105"/>
      <c r="C478" s="105"/>
      <c r="D478" s="105"/>
      <c r="E478" s="105"/>
    </row>
    <row r="479" spans="1:5" ht="24">
      <c r="A479" s="121"/>
      <c r="B479" s="105"/>
      <c r="C479" s="105"/>
      <c r="D479" s="105"/>
      <c r="E479" s="105"/>
    </row>
    <row r="480" spans="1:5" ht="24">
      <c r="A480" s="121"/>
      <c r="B480" s="105"/>
      <c r="C480" s="105"/>
      <c r="D480" s="105"/>
      <c r="E480" s="105"/>
    </row>
    <row r="481" spans="1:5" ht="24">
      <c r="A481" s="121"/>
      <c r="B481" s="105"/>
      <c r="C481" s="105"/>
      <c r="D481" s="105"/>
      <c r="E481" s="105"/>
    </row>
    <row r="482" spans="1:5" ht="24">
      <c r="A482" s="121"/>
      <c r="B482" s="105"/>
      <c r="C482" s="105"/>
      <c r="D482" s="105"/>
      <c r="E482" s="105"/>
    </row>
    <row r="483" spans="1:5" ht="24">
      <c r="A483" s="121"/>
      <c r="B483" s="105"/>
      <c r="C483" s="105"/>
      <c r="D483" s="105"/>
      <c r="E483" s="105"/>
    </row>
    <row r="484" spans="1:5" ht="24">
      <c r="A484" s="121"/>
      <c r="B484" s="105"/>
      <c r="C484" s="105"/>
      <c r="D484" s="105"/>
      <c r="E484" s="105"/>
    </row>
    <row r="485" spans="1:5" ht="24">
      <c r="A485" s="121"/>
      <c r="B485" s="105"/>
      <c r="C485" s="105"/>
      <c r="D485" s="105"/>
      <c r="E485" s="105"/>
    </row>
    <row r="486" spans="1:5" ht="24">
      <c r="A486" s="121"/>
      <c r="B486" s="105"/>
      <c r="C486" s="105"/>
      <c r="D486" s="105"/>
      <c r="E486" s="105"/>
    </row>
    <row r="487" spans="1:5" ht="24">
      <c r="A487" s="121"/>
      <c r="B487" s="105"/>
      <c r="C487" s="105"/>
      <c r="D487" s="105"/>
      <c r="E487" s="105"/>
    </row>
    <row r="488" spans="1:5" ht="24">
      <c r="A488" s="121"/>
      <c r="B488" s="105"/>
      <c r="C488" s="105"/>
      <c r="D488" s="105"/>
      <c r="E488" s="105"/>
    </row>
    <row r="489" spans="1:5" ht="24">
      <c r="A489" s="121"/>
      <c r="B489" s="105"/>
      <c r="C489" s="105"/>
      <c r="D489" s="105"/>
      <c r="E489" s="105"/>
    </row>
    <row r="490" spans="1:5" ht="24">
      <c r="A490" s="121"/>
      <c r="B490" s="105"/>
      <c r="C490" s="105"/>
      <c r="D490" s="105"/>
      <c r="E490" s="105"/>
    </row>
    <row r="491" spans="1:5" ht="24">
      <c r="A491" s="121"/>
      <c r="B491" s="105"/>
      <c r="C491" s="105"/>
      <c r="D491" s="105"/>
      <c r="E491" s="105"/>
    </row>
    <row r="492" spans="1:5" ht="24">
      <c r="A492" s="121"/>
      <c r="B492" s="105"/>
      <c r="C492" s="105"/>
      <c r="D492" s="105"/>
      <c r="E492" s="105"/>
    </row>
    <row r="493" spans="1:5" ht="24">
      <c r="A493" s="121"/>
      <c r="B493" s="105"/>
      <c r="C493" s="105"/>
      <c r="D493" s="105"/>
      <c r="E493" s="105"/>
    </row>
    <row r="494" spans="1:5" ht="24">
      <c r="A494" s="121"/>
      <c r="B494" s="105"/>
      <c r="C494" s="105"/>
      <c r="D494" s="105"/>
      <c r="E494" s="105"/>
    </row>
    <row r="495" spans="1:5" ht="24">
      <c r="A495" s="200" t="s">
        <v>73</v>
      </c>
      <c r="B495" s="200"/>
      <c r="C495" s="200"/>
      <c r="D495" s="200"/>
      <c r="E495" s="200"/>
    </row>
    <row r="496" spans="1:5" ht="24">
      <c r="A496" s="200" t="s">
        <v>214</v>
      </c>
      <c r="B496" s="200"/>
      <c r="C496" s="200"/>
      <c r="D496" s="200"/>
      <c r="E496" s="200"/>
    </row>
    <row r="497" spans="1:5" ht="24" customHeight="1">
      <c r="A497" s="201" t="s">
        <v>274</v>
      </c>
      <c r="B497" s="201"/>
      <c r="C497" s="201"/>
      <c r="D497" s="201"/>
      <c r="E497" s="86" t="s">
        <v>222</v>
      </c>
    </row>
    <row r="498" spans="1:5" ht="24">
      <c r="A498" s="82"/>
      <c r="B498" s="82"/>
      <c r="C498" s="82"/>
      <c r="D498" s="82"/>
      <c r="E498" s="82"/>
    </row>
    <row r="499" spans="1:5" ht="24">
      <c r="A499" s="89" t="s">
        <v>0</v>
      </c>
      <c r="B499" s="89" t="s">
        <v>7</v>
      </c>
      <c r="C499" s="89" t="s">
        <v>8</v>
      </c>
      <c r="D499" s="89" t="s">
        <v>187</v>
      </c>
      <c r="E499" s="89" t="s">
        <v>12</v>
      </c>
    </row>
    <row r="500" spans="1:5" ht="24">
      <c r="A500" s="101" t="s">
        <v>141</v>
      </c>
      <c r="B500" s="120"/>
      <c r="C500" s="120"/>
      <c r="D500" s="120"/>
      <c r="E500" s="120"/>
    </row>
    <row r="501" spans="1:5" ht="24">
      <c r="A501" s="92" t="s">
        <v>164</v>
      </c>
      <c r="B501" s="93">
        <v>30000</v>
      </c>
      <c r="C501" s="93">
        <v>30000</v>
      </c>
      <c r="D501" s="93">
        <v>0</v>
      </c>
      <c r="E501" s="93">
        <f>B501-D501</f>
        <v>30000</v>
      </c>
    </row>
    <row r="502" spans="1:5" ht="24">
      <c r="A502" s="92" t="s">
        <v>269</v>
      </c>
      <c r="B502" s="126">
        <v>130000</v>
      </c>
      <c r="C502" s="126">
        <f>B502-91160</f>
        <v>38840</v>
      </c>
      <c r="D502" s="126">
        <v>0</v>
      </c>
      <c r="E502" s="126">
        <f>C502-D502</f>
        <v>38840</v>
      </c>
    </row>
    <row r="503" spans="1:5" ht="24.75" thickBot="1">
      <c r="A503" s="94" t="s">
        <v>192</v>
      </c>
      <c r="B503" s="141">
        <f>SUM(B501:B502)</f>
        <v>160000</v>
      </c>
      <c r="C503" s="141">
        <f>SUM(C501:C502)</f>
        <v>68840</v>
      </c>
      <c r="D503" s="141">
        <f>SUM(D501:D502)</f>
        <v>0</v>
      </c>
      <c r="E503" s="141">
        <f>SUM(E501:E502)</f>
        <v>68840</v>
      </c>
    </row>
    <row r="504" spans="1:5" ht="24.75" thickTop="1">
      <c r="A504" s="101" t="s">
        <v>3</v>
      </c>
      <c r="B504" s="99"/>
      <c r="C504" s="99"/>
      <c r="D504" s="99"/>
      <c r="E504" s="99"/>
    </row>
    <row r="505" spans="1:5" ht="24">
      <c r="A505" s="92" t="s">
        <v>165</v>
      </c>
      <c r="B505" s="126">
        <v>90000</v>
      </c>
      <c r="C505" s="126">
        <f>B505-75100</f>
        <v>14900</v>
      </c>
      <c r="D505" s="126">
        <v>0</v>
      </c>
      <c r="E505" s="126">
        <f>C505-D505</f>
        <v>14900</v>
      </c>
    </row>
    <row r="506" spans="1:5" ht="24.75" thickBot="1">
      <c r="A506" s="128" t="s">
        <v>193</v>
      </c>
      <c r="B506" s="141">
        <f>SUM(B505)</f>
        <v>90000</v>
      </c>
      <c r="C506" s="141">
        <f>SUM(C505)</f>
        <v>14900</v>
      </c>
      <c r="D506" s="141">
        <f>SUM(D505)</f>
        <v>0</v>
      </c>
      <c r="E506" s="141">
        <f>SUM(E505)</f>
        <v>14900</v>
      </c>
    </row>
    <row r="507" spans="1:5" ht="24.75" thickTop="1">
      <c r="A507" s="104"/>
      <c r="B507" s="105"/>
      <c r="C507" s="105"/>
      <c r="D507" s="105"/>
      <c r="E507" s="105"/>
    </row>
    <row r="508" spans="1:5" ht="24">
      <c r="A508" s="104"/>
      <c r="B508" s="105"/>
      <c r="C508" s="105"/>
      <c r="D508" s="105"/>
      <c r="E508" s="105"/>
    </row>
    <row r="509" spans="1:5" ht="24">
      <c r="A509" s="104"/>
      <c r="B509" s="105"/>
      <c r="C509" s="105"/>
      <c r="D509" s="105"/>
      <c r="E509" s="105"/>
    </row>
    <row r="510" spans="1:5" ht="24">
      <c r="A510" s="104"/>
      <c r="B510" s="105"/>
      <c r="C510" s="105"/>
      <c r="D510" s="105"/>
      <c r="E510" s="105"/>
    </row>
    <row r="511" spans="1:5" ht="24">
      <c r="A511" s="104"/>
      <c r="B511" s="105"/>
      <c r="C511" s="105"/>
      <c r="D511" s="105"/>
      <c r="E511" s="105"/>
    </row>
    <row r="512" spans="1:5" ht="24">
      <c r="A512" s="104"/>
      <c r="B512" s="105"/>
      <c r="C512" s="105"/>
      <c r="D512" s="105"/>
      <c r="E512" s="105"/>
    </row>
    <row r="513" spans="1:5" ht="24">
      <c r="A513" s="104"/>
      <c r="B513" s="105"/>
      <c r="C513" s="105"/>
      <c r="D513" s="105"/>
      <c r="E513" s="105"/>
    </row>
    <row r="514" spans="1:5" ht="24">
      <c r="A514" s="104"/>
      <c r="B514" s="105"/>
      <c r="C514" s="105"/>
      <c r="D514" s="105"/>
      <c r="E514" s="105"/>
    </row>
    <row r="515" spans="1:5" ht="24">
      <c r="A515" s="104"/>
      <c r="B515" s="105"/>
      <c r="C515" s="105"/>
      <c r="D515" s="105"/>
      <c r="E515" s="105"/>
    </row>
    <row r="516" spans="1:5" ht="24">
      <c r="A516" s="104"/>
      <c r="B516" s="105"/>
      <c r="C516" s="105"/>
      <c r="D516" s="105"/>
      <c r="E516" s="105"/>
    </row>
    <row r="517" spans="1:5" ht="24">
      <c r="A517" s="104"/>
      <c r="B517" s="105"/>
      <c r="C517" s="105"/>
      <c r="D517" s="105"/>
      <c r="E517" s="105"/>
    </row>
    <row r="518" spans="1:5" ht="24">
      <c r="A518" s="104"/>
      <c r="B518" s="105"/>
      <c r="C518" s="105"/>
      <c r="D518" s="105"/>
      <c r="E518" s="105"/>
    </row>
    <row r="519" spans="1:5" ht="24">
      <c r="A519" s="104"/>
      <c r="B519" s="105"/>
      <c r="C519" s="105"/>
      <c r="D519" s="105"/>
      <c r="E519" s="105"/>
    </row>
    <row r="520" spans="1:5" ht="24">
      <c r="A520" s="104"/>
      <c r="B520" s="105"/>
      <c r="C520" s="105"/>
      <c r="D520" s="105"/>
      <c r="E520" s="105"/>
    </row>
    <row r="521" spans="1:5" ht="24">
      <c r="A521" s="104"/>
      <c r="B521" s="105"/>
      <c r="C521" s="105"/>
      <c r="D521" s="105"/>
      <c r="E521" s="105"/>
    </row>
    <row r="522" spans="1:5" ht="24">
      <c r="A522" s="104"/>
      <c r="B522" s="105"/>
      <c r="C522" s="105"/>
      <c r="D522" s="105"/>
      <c r="E522" s="105"/>
    </row>
    <row r="523" spans="1:5" ht="24">
      <c r="A523" s="104"/>
      <c r="B523" s="105"/>
      <c r="C523" s="105"/>
      <c r="D523" s="105"/>
      <c r="E523" s="105"/>
    </row>
    <row r="524" spans="1:5" ht="24">
      <c r="A524" s="104"/>
      <c r="B524" s="105"/>
      <c r="C524" s="105"/>
      <c r="D524" s="105"/>
      <c r="E524" s="105"/>
    </row>
    <row r="525" spans="1:5" ht="24">
      <c r="A525" s="104"/>
      <c r="B525" s="105"/>
      <c r="C525" s="105"/>
      <c r="D525" s="105"/>
      <c r="E525" s="105"/>
    </row>
    <row r="526" spans="1:5" ht="24">
      <c r="A526" s="104"/>
      <c r="B526" s="105"/>
      <c r="C526" s="105"/>
      <c r="D526" s="105"/>
      <c r="E526" s="105"/>
    </row>
    <row r="527" spans="1:5" ht="24">
      <c r="A527" s="104"/>
      <c r="B527" s="105"/>
      <c r="C527" s="105"/>
      <c r="D527" s="105"/>
      <c r="E527" s="105"/>
    </row>
    <row r="528" spans="1:5" ht="24">
      <c r="A528" s="104"/>
      <c r="B528" s="105"/>
      <c r="C528" s="105"/>
      <c r="D528" s="105"/>
      <c r="E528" s="105"/>
    </row>
    <row r="529" spans="1:5" ht="24" customHeight="1">
      <c r="A529" s="104"/>
      <c r="B529" s="105"/>
      <c r="C529" s="105"/>
      <c r="D529" s="105"/>
      <c r="E529" s="105"/>
    </row>
    <row r="530" spans="1:5" ht="24">
      <c r="A530" s="104"/>
      <c r="B530" s="105"/>
      <c r="C530" s="105"/>
      <c r="D530" s="105"/>
      <c r="E530" s="105"/>
    </row>
    <row r="531" spans="1:5" ht="24">
      <c r="A531" s="200" t="s">
        <v>73</v>
      </c>
      <c r="B531" s="200"/>
      <c r="C531" s="200"/>
      <c r="D531" s="200"/>
      <c r="E531" s="200"/>
    </row>
    <row r="532" spans="1:5" ht="24">
      <c r="A532" s="200" t="s">
        <v>215</v>
      </c>
      <c r="B532" s="200"/>
      <c r="C532" s="200"/>
      <c r="D532" s="200"/>
      <c r="E532" s="200"/>
    </row>
    <row r="533" spans="1:5" ht="24" customHeight="1">
      <c r="A533" s="201" t="s">
        <v>274</v>
      </c>
      <c r="B533" s="201"/>
      <c r="C533" s="201"/>
      <c r="D533" s="201"/>
      <c r="E533" s="86" t="s">
        <v>222</v>
      </c>
    </row>
    <row r="534" spans="1:5" ht="24">
      <c r="A534" s="82"/>
      <c r="B534" s="82"/>
      <c r="C534" s="82"/>
      <c r="D534" s="82"/>
      <c r="E534" s="82"/>
    </row>
    <row r="535" spans="1:5" ht="24">
      <c r="A535" s="89" t="s">
        <v>0</v>
      </c>
      <c r="B535" s="89" t="s">
        <v>7</v>
      </c>
      <c r="C535" s="89" t="s">
        <v>8</v>
      </c>
      <c r="D535" s="89" t="s">
        <v>187</v>
      </c>
      <c r="E535" s="89" t="s">
        <v>12</v>
      </c>
    </row>
    <row r="536" spans="1:5" ht="24">
      <c r="A536" s="101" t="s">
        <v>2</v>
      </c>
      <c r="B536" s="120"/>
      <c r="C536" s="120"/>
      <c r="D536" s="120"/>
      <c r="E536" s="120"/>
    </row>
    <row r="537" spans="1:5" ht="24">
      <c r="A537" s="92" t="s">
        <v>270</v>
      </c>
      <c r="B537" s="93">
        <v>30000</v>
      </c>
      <c r="C537" s="93">
        <v>30000</v>
      </c>
      <c r="D537" s="93">
        <v>4500</v>
      </c>
      <c r="E537" s="93">
        <f aca="true" t="shared" si="6" ref="E537:E544">B537-D537</f>
        <v>25500</v>
      </c>
    </row>
    <row r="538" spans="1:5" ht="24">
      <c r="A538" s="92" t="s">
        <v>166</v>
      </c>
      <c r="B538" s="93">
        <v>20000</v>
      </c>
      <c r="C538" s="93">
        <v>20000</v>
      </c>
      <c r="D538" s="93">
        <v>0</v>
      </c>
      <c r="E538" s="93">
        <f t="shared" si="6"/>
        <v>20000</v>
      </c>
    </row>
    <row r="539" spans="1:5" ht="24">
      <c r="A539" s="92" t="s">
        <v>271</v>
      </c>
      <c r="B539" s="93">
        <v>60000</v>
      </c>
      <c r="C539" s="93">
        <v>60000</v>
      </c>
      <c r="D539" s="93">
        <v>0</v>
      </c>
      <c r="E539" s="93">
        <f t="shared" si="6"/>
        <v>60000</v>
      </c>
    </row>
    <row r="540" spans="1:5" ht="23.25" customHeight="1">
      <c r="A540" s="92" t="s">
        <v>167</v>
      </c>
      <c r="B540" s="93">
        <v>20000</v>
      </c>
      <c r="C540" s="93">
        <v>20000</v>
      </c>
      <c r="D540" s="93">
        <v>0</v>
      </c>
      <c r="E540" s="93">
        <f t="shared" si="6"/>
        <v>20000</v>
      </c>
    </row>
    <row r="541" spans="1:5" ht="24">
      <c r="A541" s="92" t="s">
        <v>272</v>
      </c>
      <c r="B541" s="93">
        <v>40000</v>
      </c>
      <c r="C541" s="93">
        <v>40000</v>
      </c>
      <c r="D541" s="93">
        <v>0</v>
      </c>
      <c r="E541" s="93">
        <f t="shared" si="6"/>
        <v>40000</v>
      </c>
    </row>
    <row r="542" spans="1:5" ht="24">
      <c r="A542" s="92" t="s">
        <v>168</v>
      </c>
      <c r="B542" s="93">
        <v>10000</v>
      </c>
      <c r="C542" s="93">
        <v>10000</v>
      </c>
      <c r="D542" s="93">
        <v>0</v>
      </c>
      <c r="E542" s="93">
        <f t="shared" si="6"/>
        <v>10000</v>
      </c>
    </row>
    <row r="543" spans="1:5" ht="24">
      <c r="A543" s="92" t="s">
        <v>169</v>
      </c>
      <c r="B543" s="93">
        <v>10000</v>
      </c>
      <c r="C543" s="93">
        <v>10000</v>
      </c>
      <c r="D543" s="93">
        <v>0</v>
      </c>
      <c r="E543" s="93">
        <f t="shared" si="6"/>
        <v>10000</v>
      </c>
    </row>
    <row r="544" spans="1:5" ht="24">
      <c r="A544" s="92" t="s">
        <v>170</v>
      </c>
      <c r="B544" s="93">
        <v>30000</v>
      </c>
      <c r="C544" s="93">
        <v>30000</v>
      </c>
      <c r="D544" s="93">
        <v>25120</v>
      </c>
      <c r="E544" s="93">
        <f t="shared" si="6"/>
        <v>4880</v>
      </c>
    </row>
    <row r="545" spans="1:5" ht="24.75" thickBot="1">
      <c r="A545" s="94" t="s">
        <v>192</v>
      </c>
      <c r="B545" s="141">
        <f>SUM(B537:B544)</f>
        <v>220000</v>
      </c>
      <c r="C545" s="141">
        <f>SUM(C537:C544)</f>
        <v>220000</v>
      </c>
      <c r="D545" s="141">
        <f>SUM(D537:D544)</f>
        <v>29620</v>
      </c>
      <c r="E545" s="141">
        <f>SUM(E537:E544)</f>
        <v>190380</v>
      </c>
    </row>
    <row r="546" spans="1:5" ht="24.75" thickTop="1">
      <c r="A546" s="101" t="s">
        <v>171</v>
      </c>
      <c r="B546" s="99"/>
      <c r="C546" s="99"/>
      <c r="D546" s="99"/>
      <c r="E546" s="99"/>
    </row>
    <row r="547" spans="1:5" ht="24">
      <c r="A547" s="92" t="s">
        <v>273</v>
      </c>
      <c r="B547" s="93">
        <v>40000</v>
      </c>
      <c r="C547" s="93">
        <v>0</v>
      </c>
      <c r="D547" s="93">
        <v>0</v>
      </c>
      <c r="E547" s="93">
        <v>0</v>
      </c>
    </row>
    <row r="548" spans="1:5" ht="24" customHeight="1">
      <c r="A548" s="92" t="s">
        <v>172</v>
      </c>
      <c r="B548" s="126">
        <v>20000</v>
      </c>
      <c r="C548" s="126">
        <v>20000</v>
      </c>
      <c r="D548" s="126">
        <v>0</v>
      </c>
      <c r="E548" s="126">
        <f>B548-D548</f>
        <v>20000</v>
      </c>
    </row>
    <row r="549" spans="1:5" ht="24.75" thickBot="1">
      <c r="A549" s="128" t="s">
        <v>207</v>
      </c>
      <c r="B549" s="141">
        <f>SUM(B547:B548)</f>
        <v>60000</v>
      </c>
      <c r="C549" s="141">
        <f>SUM(C547:C548)</f>
        <v>20000</v>
      </c>
      <c r="D549" s="141">
        <f>SUM(D547:D548)</f>
        <v>0</v>
      </c>
      <c r="E549" s="141">
        <f>SUM(E547:E548)</f>
        <v>20000</v>
      </c>
    </row>
    <row r="550" spans="1:5" ht="24.75" thickTop="1">
      <c r="A550" s="104"/>
      <c r="B550" s="105"/>
      <c r="C550" s="105"/>
      <c r="D550" s="105"/>
      <c r="E550" s="105"/>
    </row>
    <row r="551" spans="1:5" ht="24">
      <c r="A551" s="104"/>
      <c r="B551" s="105"/>
      <c r="C551" s="105"/>
      <c r="D551" s="105"/>
      <c r="E551" s="105"/>
    </row>
    <row r="552" spans="1:5" ht="24">
      <c r="A552" s="104"/>
      <c r="B552" s="105"/>
      <c r="C552" s="105"/>
      <c r="D552" s="105"/>
      <c r="E552" s="105"/>
    </row>
    <row r="553" spans="1:5" ht="24">
      <c r="A553" s="104"/>
      <c r="B553" s="105"/>
      <c r="C553" s="105"/>
      <c r="D553" s="105"/>
      <c r="E553" s="105"/>
    </row>
    <row r="554" spans="1:5" ht="24">
      <c r="A554" s="104"/>
      <c r="B554" s="105"/>
      <c r="C554" s="105"/>
      <c r="D554" s="105"/>
      <c r="E554" s="105"/>
    </row>
    <row r="555" spans="1:5" ht="24">
      <c r="A555" s="104"/>
      <c r="B555" s="105"/>
      <c r="C555" s="105"/>
      <c r="D555" s="105"/>
      <c r="E555" s="105"/>
    </row>
    <row r="556" spans="1:5" ht="24">
      <c r="A556" s="104"/>
      <c r="B556" s="105"/>
      <c r="C556" s="105"/>
      <c r="D556" s="105"/>
      <c r="E556" s="105"/>
    </row>
    <row r="557" spans="1:5" ht="24">
      <c r="A557" s="104"/>
      <c r="B557" s="105"/>
      <c r="C557" s="105"/>
      <c r="D557" s="105"/>
      <c r="E557" s="105"/>
    </row>
    <row r="558" spans="1:5" ht="24">
      <c r="A558" s="104"/>
      <c r="B558" s="105"/>
      <c r="C558" s="105"/>
      <c r="D558" s="105"/>
      <c r="E558" s="105"/>
    </row>
    <row r="559" spans="1:5" ht="24" customHeight="1">
      <c r="A559" s="104"/>
      <c r="B559" s="105"/>
      <c r="C559" s="105"/>
      <c r="D559" s="105"/>
      <c r="E559" s="105"/>
    </row>
    <row r="560" spans="1:5" ht="24">
      <c r="A560" s="104"/>
      <c r="B560" s="105"/>
      <c r="C560" s="105"/>
      <c r="D560" s="105"/>
      <c r="E560" s="105"/>
    </row>
    <row r="561" spans="1:5" ht="24">
      <c r="A561" s="104"/>
      <c r="B561" s="105"/>
      <c r="C561" s="105"/>
      <c r="D561" s="105"/>
      <c r="E561" s="105"/>
    </row>
    <row r="562" spans="1:5" ht="24">
      <c r="A562" s="104"/>
      <c r="B562" s="105"/>
      <c r="C562" s="105"/>
      <c r="D562" s="105"/>
      <c r="E562" s="105"/>
    </row>
    <row r="563" spans="1:5" ht="24">
      <c r="A563" s="104"/>
      <c r="B563" s="105"/>
      <c r="C563" s="105"/>
      <c r="D563" s="105"/>
      <c r="E563" s="105"/>
    </row>
    <row r="564" spans="1:5" ht="24">
      <c r="A564" s="104"/>
      <c r="B564" s="105"/>
      <c r="C564" s="105"/>
      <c r="D564" s="105"/>
      <c r="E564" s="105"/>
    </row>
    <row r="565" spans="1:5" ht="24">
      <c r="A565" s="104"/>
      <c r="B565" s="105"/>
      <c r="C565" s="105"/>
      <c r="D565" s="105"/>
      <c r="E565" s="105"/>
    </row>
    <row r="566" spans="1:5" ht="24">
      <c r="A566" s="200" t="s">
        <v>73</v>
      </c>
      <c r="B566" s="200"/>
      <c r="C566" s="200"/>
      <c r="D566" s="200"/>
      <c r="E566" s="200"/>
    </row>
    <row r="567" spans="1:5" ht="21.75">
      <c r="A567" s="203" t="s">
        <v>218</v>
      </c>
      <c r="B567" s="203"/>
      <c r="C567" s="203"/>
      <c r="D567" s="203"/>
      <c r="E567" s="203"/>
    </row>
    <row r="568" spans="1:5" ht="24" customHeight="1">
      <c r="A568" s="201" t="s">
        <v>274</v>
      </c>
      <c r="B568" s="201"/>
      <c r="C568" s="201"/>
      <c r="D568" s="201"/>
      <c r="E568" s="86" t="s">
        <v>222</v>
      </c>
    </row>
    <row r="569" spans="1:5" ht="24">
      <c r="A569" s="82"/>
      <c r="B569" s="82"/>
      <c r="C569" s="82"/>
      <c r="D569" s="82"/>
      <c r="E569" s="82"/>
    </row>
    <row r="570" spans="1:5" ht="24">
      <c r="A570" s="89" t="s">
        <v>0</v>
      </c>
      <c r="B570" s="89" t="s">
        <v>7</v>
      </c>
      <c r="C570" s="89" t="s">
        <v>8</v>
      </c>
      <c r="D570" s="89" t="s">
        <v>187</v>
      </c>
      <c r="E570" s="89" t="s">
        <v>12</v>
      </c>
    </row>
    <row r="571" spans="1:5" ht="24">
      <c r="A571" s="101" t="s">
        <v>173</v>
      </c>
      <c r="B571" s="120"/>
      <c r="C571" s="120"/>
      <c r="D571" s="120"/>
      <c r="E571" s="120"/>
    </row>
    <row r="572" spans="1:5" ht="24">
      <c r="A572" s="92" t="s">
        <v>174</v>
      </c>
      <c r="B572" s="126">
        <v>3000</v>
      </c>
      <c r="C572" s="126">
        <v>3000</v>
      </c>
      <c r="D572" s="126">
        <v>0</v>
      </c>
      <c r="E572" s="126">
        <f>B572-D572</f>
        <v>3000</v>
      </c>
    </row>
    <row r="573" spans="1:5" ht="24.75" thickBot="1">
      <c r="A573" s="128" t="s">
        <v>192</v>
      </c>
      <c r="B573" s="141">
        <f>SUM(B572)</f>
        <v>3000</v>
      </c>
      <c r="C573" s="141">
        <f>SUM(C572)</f>
        <v>3000</v>
      </c>
      <c r="D573" s="141">
        <f>SUM(D572)</f>
        <v>0</v>
      </c>
      <c r="E573" s="141">
        <f>SUM(E572)</f>
        <v>3000</v>
      </c>
    </row>
    <row r="574" spans="1:5" ht="24.75" thickTop="1">
      <c r="A574" s="104"/>
      <c r="B574" s="105"/>
      <c r="C574" s="105"/>
      <c r="D574" s="105"/>
      <c r="E574" s="105"/>
    </row>
    <row r="575" spans="1:5" ht="24">
      <c r="A575" s="104"/>
      <c r="B575" s="105"/>
      <c r="C575" s="105"/>
      <c r="D575" s="105"/>
      <c r="E575" s="105"/>
    </row>
    <row r="576" spans="1:5" ht="24">
      <c r="A576" s="104"/>
      <c r="B576" s="105"/>
      <c r="C576" s="105"/>
      <c r="D576" s="105"/>
      <c r="E576" s="105"/>
    </row>
    <row r="577" spans="1:5" ht="24">
      <c r="A577" s="104"/>
      <c r="B577" s="105"/>
      <c r="C577" s="105"/>
      <c r="D577" s="105"/>
      <c r="E577" s="105"/>
    </row>
    <row r="578" spans="1:5" ht="24">
      <c r="A578" s="104"/>
      <c r="B578" s="105"/>
      <c r="C578" s="105"/>
      <c r="D578" s="105"/>
      <c r="E578" s="105"/>
    </row>
    <row r="579" spans="1:5" ht="24">
      <c r="A579" s="104"/>
      <c r="B579" s="105"/>
      <c r="C579" s="105"/>
      <c r="D579" s="105"/>
      <c r="E579" s="105"/>
    </row>
    <row r="580" spans="1:5" ht="24">
      <c r="A580" s="104"/>
      <c r="B580" s="105"/>
      <c r="C580" s="105"/>
      <c r="D580" s="105"/>
      <c r="E580" s="105"/>
    </row>
    <row r="581" spans="1:5" ht="24">
      <c r="A581" s="104"/>
      <c r="B581" s="105"/>
      <c r="C581" s="105"/>
      <c r="D581" s="105"/>
      <c r="E581" s="105"/>
    </row>
    <row r="582" spans="1:5" ht="24">
      <c r="A582" s="104"/>
      <c r="B582" s="105"/>
      <c r="C582" s="105"/>
      <c r="D582" s="105"/>
      <c r="E582" s="105"/>
    </row>
    <row r="583" spans="1:5" ht="24">
      <c r="A583" s="104"/>
      <c r="B583" s="105"/>
      <c r="C583" s="105"/>
      <c r="D583" s="105"/>
      <c r="E583" s="105"/>
    </row>
    <row r="584" spans="1:5" ht="24">
      <c r="A584" s="104"/>
      <c r="B584" s="105"/>
      <c r="C584" s="105"/>
      <c r="D584" s="105"/>
      <c r="E584" s="105"/>
    </row>
    <row r="585" spans="1:5" ht="24">
      <c r="A585" s="104"/>
      <c r="B585" s="105"/>
      <c r="C585" s="105"/>
      <c r="D585" s="105"/>
      <c r="E585" s="105"/>
    </row>
    <row r="586" spans="1:5" ht="24">
      <c r="A586" s="104"/>
      <c r="B586" s="105"/>
      <c r="C586" s="105"/>
      <c r="D586" s="105"/>
      <c r="E586" s="105"/>
    </row>
    <row r="587" spans="1:5" ht="24">
      <c r="A587" s="104"/>
      <c r="B587" s="105"/>
      <c r="C587" s="105"/>
      <c r="D587" s="105"/>
      <c r="E587" s="105"/>
    </row>
    <row r="588" spans="1:5" ht="24">
      <c r="A588" s="104"/>
      <c r="B588" s="105"/>
      <c r="C588" s="105"/>
      <c r="D588" s="105"/>
      <c r="E588" s="105"/>
    </row>
    <row r="589" spans="1:5" ht="24">
      <c r="A589" s="104"/>
      <c r="B589" s="105"/>
      <c r="C589" s="105"/>
      <c r="D589" s="105"/>
      <c r="E589" s="105"/>
    </row>
    <row r="590" spans="1:5" ht="24">
      <c r="A590" s="104"/>
      <c r="B590" s="105"/>
      <c r="C590" s="105"/>
      <c r="D590" s="105"/>
      <c r="E590" s="105"/>
    </row>
    <row r="591" spans="1:5" ht="24">
      <c r="A591" s="104"/>
      <c r="B591" s="105"/>
      <c r="C591" s="105"/>
      <c r="D591" s="105"/>
      <c r="E591" s="105"/>
    </row>
    <row r="592" spans="1:5" ht="24">
      <c r="A592" s="104"/>
      <c r="B592" s="105"/>
      <c r="C592" s="105"/>
      <c r="D592" s="105"/>
      <c r="E592" s="105"/>
    </row>
    <row r="593" spans="1:5" ht="24">
      <c r="A593" s="104"/>
      <c r="B593" s="105"/>
      <c r="C593" s="105"/>
      <c r="D593" s="105"/>
      <c r="E593" s="105"/>
    </row>
    <row r="594" spans="1:5" ht="24">
      <c r="A594" s="104"/>
      <c r="B594" s="105"/>
      <c r="C594" s="105"/>
      <c r="D594" s="105"/>
      <c r="E594" s="105"/>
    </row>
    <row r="595" spans="1:5" ht="24">
      <c r="A595" s="104"/>
      <c r="B595" s="105"/>
      <c r="C595" s="105"/>
      <c r="D595" s="105"/>
      <c r="E595" s="105"/>
    </row>
    <row r="596" spans="1:5" ht="24">
      <c r="A596" s="104"/>
      <c r="B596" s="105"/>
      <c r="C596" s="105"/>
      <c r="D596" s="105"/>
      <c r="E596" s="105"/>
    </row>
    <row r="597" spans="1:5" ht="24">
      <c r="A597" s="104"/>
      <c r="B597" s="105"/>
      <c r="C597" s="105"/>
      <c r="D597" s="105"/>
      <c r="E597" s="105"/>
    </row>
    <row r="598" spans="1:5" ht="24">
      <c r="A598" s="104"/>
      <c r="B598" s="105"/>
      <c r="C598" s="105"/>
      <c r="D598" s="105"/>
      <c r="E598" s="105"/>
    </row>
    <row r="599" spans="1:5" ht="24">
      <c r="A599" s="104"/>
      <c r="B599" s="105"/>
      <c r="C599" s="105"/>
      <c r="D599" s="105"/>
      <c r="E599" s="105"/>
    </row>
    <row r="600" spans="1:5" ht="24">
      <c r="A600" s="200" t="s">
        <v>73</v>
      </c>
      <c r="B600" s="200"/>
      <c r="C600" s="200"/>
      <c r="D600" s="200"/>
      <c r="E600" s="200"/>
    </row>
    <row r="601" spans="1:5" ht="24">
      <c r="A601" s="200" t="s">
        <v>219</v>
      </c>
      <c r="B601" s="200"/>
      <c r="C601" s="200"/>
      <c r="D601" s="200"/>
      <c r="E601" s="200"/>
    </row>
    <row r="602" spans="1:5" ht="24" customHeight="1">
      <c r="A602" s="201" t="s">
        <v>274</v>
      </c>
      <c r="B602" s="201"/>
      <c r="C602" s="201"/>
      <c r="D602" s="201"/>
      <c r="E602" s="86" t="s">
        <v>222</v>
      </c>
    </row>
    <row r="603" spans="1:5" ht="24">
      <c r="A603" s="82"/>
      <c r="B603" s="82"/>
      <c r="C603" s="82"/>
      <c r="D603" s="82"/>
      <c r="E603" s="82"/>
    </row>
    <row r="604" spans="1:5" ht="24">
      <c r="A604" s="89" t="s">
        <v>0</v>
      </c>
      <c r="B604" s="89" t="s">
        <v>7</v>
      </c>
      <c r="C604" s="89" t="s">
        <v>8</v>
      </c>
      <c r="D604" s="89" t="s">
        <v>187</v>
      </c>
      <c r="E604" s="89" t="s">
        <v>12</v>
      </c>
    </row>
    <row r="605" spans="1:5" ht="24">
      <c r="A605" s="98" t="s">
        <v>173</v>
      </c>
      <c r="B605" s="120"/>
      <c r="C605" s="120"/>
      <c r="D605" s="120"/>
      <c r="E605" s="120"/>
    </row>
    <row r="606" spans="1:5" ht="48">
      <c r="A606" s="92" t="s">
        <v>175</v>
      </c>
      <c r="B606" s="126">
        <v>10000</v>
      </c>
      <c r="C606" s="126">
        <v>10000</v>
      </c>
      <c r="D606" s="126">
        <v>0</v>
      </c>
      <c r="E606" s="126">
        <f>B606-D606</f>
        <v>10000</v>
      </c>
    </row>
    <row r="607" spans="1:5" ht="24.75" thickBot="1">
      <c r="A607" s="128" t="s">
        <v>192</v>
      </c>
      <c r="B607" s="154">
        <f>SUM(B606)</f>
        <v>10000</v>
      </c>
      <c r="C607" s="154">
        <f>SUM(C606)</f>
        <v>10000</v>
      </c>
      <c r="D607" s="141">
        <f>SUM(D606)</f>
        <v>0</v>
      </c>
      <c r="E607" s="155">
        <f>SUM(E606)</f>
        <v>10000</v>
      </c>
    </row>
    <row r="608" spans="1:5" ht="24.75" thickTop="1">
      <c r="A608" s="104"/>
      <c r="B608" s="105"/>
      <c r="C608" s="105"/>
      <c r="D608" s="105"/>
      <c r="E608" s="105"/>
    </row>
    <row r="609" spans="1:5" ht="24">
      <c r="A609" s="104"/>
      <c r="B609" s="105"/>
      <c r="C609" s="105"/>
      <c r="D609" s="105"/>
      <c r="E609" s="105"/>
    </row>
    <row r="610" spans="1:5" ht="24">
      <c r="A610" s="104"/>
      <c r="B610" s="105"/>
      <c r="C610" s="105"/>
      <c r="D610" s="105"/>
      <c r="E610" s="105"/>
    </row>
    <row r="611" spans="1:5" ht="24">
      <c r="A611" s="104"/>
      <c r="B611" s="105"/>
      <c r="C611" s="105"/>
      <c r="D611" s="105"/>
      <c r="E611" s="105"/>
    </row>
    <row r="612" spans="1:5" ht="24">
      <c r="A612" s="104"/>
      <c r="B612" s="105"/>
      <c r="C612" s="105"/>
      <c r="D612" s="105"/>
      <c r="E612" s="105"/>
    </row>
    <row r="613" spans="1:5" ht="24">
      <c r="A613" s="104"/>
      <c r="B613" s="105"/>
      <c r="C613" s="105"/>
      <c r="D613" s="105"/>
      <c r="E613" s="105"/>
    </row>
    <row r="614" spans="1:5" ht="24">
      <c r="A614" s="104"/>
      <c r="B614" s="105"/>
      <c r="C614" s="105"/>
      <c r="D614" s="105"/>
      <c r="E614" s="105"/>
    </row>
    <row r="615" spans="1:5" ht="24">
      <c r="A615" s="104"/>
      <c r="B615" s="105"/>
      <c r="C615" s="105"/>
      <c r="D615" s="105"/>
      <c r="E615" s="105"/>
    </row>
    <row r="616" spans="1:5" ht="24">
      <c r="A616" s="104"/>
      <c r="B616" s="105"/>
      <c r="C616" s="105"/>
      <c r="D616" s="105"/>
      <c r="E616" s="105"/>
    </row>
    <row r="617" spans="1:5" ht="24">
      <c r="A617" s="104"/>
      <c r="B617" s="105"/>
      <c r="C617" s="105"/>
      <c r="D617" s="105"/>
      <c r="E617" s="105"/>
    </row>
    <row r="618" spans="1:5" ht="24">
      <c r="A618" s="104"/>
      <c r="B618" s="105"/>
      <c r="C618" s="105"/>
      <c r="D618" s="105"/>
      <c r="E618" s="105"/>
    </row>
    <row r="619" spans="1:5" ht="24">
      <c r="A619" s="104"/>
      <c r="B619" s="105"/>
      <c r="C619" s="105"/>
      <c r="D619" s="105"/>
      <c r="E619" s="105"/>
    </row>
    <row r="620" spans="1:5" ht="24">
      <c r="A620" s="104"/>
      <c r="B620" s="105"/>
      <c r="C620" s="105"/>
      <c r="D620" s="105"/>
      <c r="E620" s="105"/>
    </row>
    <row r="621" spans="1:5" ht="24">
      <c r="A621" s="104"/>
      <c r="B621" s="105"/>
      <c r="C621" s="105"/>
      <c r="D621" s="105"/>
      <c r="E621" s="105"/>
    </row>
    <row r="622" spans="1:5" ht="24">
      <c r="A622" s="104"/>
      <c r="B622" s="105"/>
      <c r="C622" s="105"/>
      <c r="D622" s="105"/>
      <c r="E622" s="105"/>
    </row>
    <row r="623" spans="1:5" ht="24">
      <c r="A623" s="104"/>
      <c r="B623" s="105"/>
      <c r="C623" s="105"/>
      <c r="D623" s="105"/>
      <c r="E623" s="105"/>
    </row>
    <row r="624" spans="1:5" ht="24">
      <c r="A624" s="104"/>
      <c r="B624" s="105"/>
      <c r="C624" s="105"/>
      <c r="D624" s="105"/>
      <c r="E624" s="105"/>
    </row>
    <row r="625" spans="1:5" ht="24">
      <c r="A625" s="104"/>
      <c r="B625" s="105"/>
      <c r="C625" s="105"/>
      <c r="D625" s="105"/>
      <c r="E625" s="105"/>
    </row>
    <row r="626" spans="1:5" ht="24">
      <c r="A626" s="104"/>
      <c r="B626" s="105"/>
      <c r="C626" s="105"/>
      <c r="D626" s="105"/>
      <c r="E626" s="105"/>
    </row>
    <row r="627" spans="1:5" ht="24">
      <c r="A627" s="104"/>
      <c r="B627" s="105"/>
      <c r="C627" s="105"/>
      <c r="D627" s="105"/>
      <c r="E627" s="105"/>
    </row>
    <row r="628" spans="1:5" ht="24">
      <c r="A628" s="104"/>
      <c r="B628" s="105"/>
      <c r="C628" s="105"/>
      <c r="D628" s="105"/>
      <c r="E628" s="105"/>
    </row>
    <row r="629" spans="1:5" ht="24">
      <c r="A629" s="104"/>
      <c r="B629" s="105"/>
      <c r="C629" s="105"/>
      <c r="D629" s="105"/>
      <c r="E629" s="105"/>
    </row>
    <row r="630" spans="1:5" ht="24">
      <c r="A630" s="104"/>
      <c r="B630" s="105"/>
      <c r="C630" s="105"/>
      <c r="D630" s="105"/>
      <c r="E630" s="105"/>
    </row>
    <row r="631" spans="1:5" ht="24">
      <c r="A631" s="104"/>
      <c r="B631" s="105"/>
      <c r="C631" s="105"/>
      <c r="D631" s="105"/>
      <c r="E631" s="105"/>
    </row>
    <row r="632" spans="1:5" ht="24">
      <c r="A632" s="104"/>
      <c r="B632" s="105"/>
      <c r="C632" s="105"/>
      <c r="D632" s="105"/>
      <c r="E632" s="105"/>
    </row>
    <row r="633" spans="1:5" ht="24" customHeight="1">
      <c r="A633" s="104"/>
      <c r="B633" s="105"/>
      <c r="C633" s="105"/>
      <c r="D633" s="105"/>
      <c r="E633" s="105"/>
    </row>
    <row r="634" spans="1:5" ht="24">
      <c r="A634" s="104"/>
      <c r="B634" s="105"/>
      <c r="C634" s="105"/>
      <c r="D634" s="105"/>
      <c r="E634" s="105"/>
    </row>
    <row r="635" spans="1:5" ht="24">
      <c r="A635" s="200" t="s">
        <v>73</v>
      </c>
      <c r="B635" s="200"/>
      <c r="C635" s="200"/>
      <c r="D635" s="200"/>
      <c r="E635" s="200"/>
    </row>
    <row r="636" spans="1:5" ht="24">
      <c r="A636" s="200" t="s">
        <v>220</v>
      </c>
      <c r="B636" s="200"/>
      <c r="C636" s="200"/>
      <c r="D636" s="200"/>
      <c r="E636" s="200"/>
    </row>
    <row r="637" spans="1:5" ht="24" customHeight="1">
      <c r="A637" s="201" t="s">
        <v>274</v>
      </c>
      <c r="B637" s="201"/>
      <c r="C637" s="201"/>
      <c r="D637" s="201"/>
      <c r="E637" s="86" t="s">
        <v>222</v>
      </c>
    </row>
    <row r="638" spans="1:5" ht="24">
      <c r="A638" s="82"/>
      <c r="B638" s="82"/>
      <c r="C638" s="82"/>
      <c r="D638" s="82"/>
      <c r="E638" s="82"/>
    </row>
    <row r="639" spans="1:5" ht="24">
      <c r="A639" s="89" t="s">
        <v>0</v>
      </c>
      <c r="B639" s="89" t="s">
        <v>7</v>
      </c>
      <c r="C639" s="89" t="s">
        <v>8</v>
      </c>
      <c r="D639" s="89" t="s">
        <v>187</v>
      </c>
      <c r="E639" s="89" t="s">
        <v>12</v>
      </c>
    </row>
    <row r="640" spans="1:5" ht="24">
      <c r="A640" s="98" t="s">
        <v>173</v>
      </c>
      <c r="B640" s="93"/>
      <c r="C640" s="93"/>
      <c r="D640" s="93"/>
      <c r="E640" s="120"/>
    </row>
    <row r="641" spans="1:5" ht="24">
      <c r="A641" s="92" t="s">
        <v>176</v>
      </c>
      <c r="B641" s="93">
        <v>10000</v>
      </c>
      <c r="C641" s="93">
        <v>10000</v>
      </c>
      <c r="D641" s="93">
        <v>0</v>
      </c>
      <c r="E641" s="93">
        <f>B641-D641</f>
        <v>10000</v>
      </c>
    </row>
    <row r="642" spans="1:5" ht="24.75" thickBot="1">
      <c r="A642" s="156" t="s">
        <v>192</v>
      </c>
      <c r="B642" s="95">
        <f>SUM(B641)</f>
        <v>10000</v>
      </c>
      <c r="C642" s="95">
        <f>SUM(C641)</f>
        <v>10000</v>
      </c>
      <c r="D642" s="95">
        <f>SUM(D641)</f>
        <v>0</v>
      </c>
      <c r="E642" s="95">
        <f>B642-D642</f>
        <v>10000</v>
      </c>
    </row>
    <row r="643" spans="1:5" ht="24.75" thickTop="1">
      <c r="A643" s="157"/>
      <c r="B643" s="158"/>
      <c r="C643" s="158"/>
      <c r="D643" s="158"/>
      <c r="E643" s="105"/>
    </row>
    <row r="644" spans="1:5" ht="24">
      <c r="A644" s="157"/>
      <c r="B644" s="158"/>
      <c r="C644" s="158"/>
      <c r="D644" s="158"/>
      <c r="E644" s="105"/>
    </row>
    <row r="645" spans="1:5" ht="24">
      <c r="A645" s="157"/>
      <c r="B645" s="158"/>
      <c r="C645" s="158"/>
      <c r="D645" s="158"/>
      <c r="E645" s="105"/>
    </row>
    <row r="646" spans="1:5" ht="24">
      <c r="A646" s="157"/>
      <c r="B646" s="158"/>
      <c r="C646" s="158"/>
      <c r="D646" s="158"/>
      <c r="E646" s="105"/>
    </row>
    <row r="647" spans="1:5" ht="24">
      <c r="A647" s="157"/>
      <c r="B647" s="158"/>
      <c r="C647" s="158"/>
      <c r="D647" s="158"/>
      <c r="E647" s="105"/>
    </row>
    <row r="648" spans="1:5" ht="24">
      <c r="A648" s="157"/>
      <c r="B648" s="158"/>
      <c r="C648" s="158"/>
      <c r="D648" s="158"/>
      <c r="E648" s="105"/>
    </row>
    <row r="649" spans="1:5" ht="24">
      <c r="A649" s="157"/>
      <c r="B649" s="158"/>
      <c r="C649" s="158"/>
      <c r="D649" s="158"/>
      <c r="E649" s="105"/>
    </row>
    <row r="650" spans="1:5" ht="24">
      <c r="A650" s="157"/>
      <c r="B650" s="158"/>
      <c r="C650" s="158"/>
      <c r="D650" s="158"/>
      <c r="E650" s="105"/>
    </row>
    <row r="651" spans="1:5" ht="24">
      <c r="A651" s="157"/>
      <c r="B651" s="158"/>
      <c r="C651" s="158"/>
      <c r="D651" s="158"/>
      <c r="E651" s="105"/>
    </row>
    <row r="652" spans="1:5" ht="24">
      <c r="A652" s="157"/>
      <c r="B652" s="158"/>
      <c r="C652" s="158"/>
      <c r="D652" s="158"/>
      <c r="E652" s="105"/>
    </row>
    <row r="653" spans="1:5" ht="24">
      <c r="A653" s="157"/>
      <c r="B653" s="158"/>
      <c r="C653" s="158"/>
      <c r="D653" s="158"/>
      <c r="E653" s="105"/>
    </row>
    <row r="654" spans="1:5" ht="24">
      <c r="A654" s="157"/>
      <c r="B654" s="158"/>
      <c r="C654" s="158"/>
      <c r="D654" s="158"/>
      <c r="E654" s="105"/>
    </row>
    <row r="655" spans="1:5" ht="24">
      <c r="A655" s="157"/>
      <c r="B655" s="158"/>
      <c r="C655" s="158"/>
      <c r="D655" s="158"/>
      <c r="E655" s="105"/>
    </row>
    <row r="656" spans="1:5" ht="24">
      <c r="A656" s="157"/>
      <c r="B656" s="158"/>
      <c r="C656" s="158"/>
      <c r="D656" s="158"/>
      <c r="E656" s="105"/>
    </row>
    <row r="657" spans="1:5" ht="24">
      <c r="A657" s="157"/>
      <c r="B657" s="158"/>
      <c r="C657" s="158"/>
      <c r="D657" s="158"/>
      <c r="E657" s="105"/>
    </row>
    <row r="658" spans="1:5" ht="24">
      <c r="A658" s="157"/>
      <c r="B658" s="158"/>
      <c r="C658" s="158"/>
      <c r="D658" s="158"/>
      <c r="E658" s="105"/>
    </row>
    <row r="659" spans="1:5" ht="24">
      <c r="A659" s="157"/>
      <c r="B659" s="158"/>
      <c r="C659" s="158"/>
      <c r="D659" s="158"/>
      <c r="E659" s="105"/>
    </row>
    <row r="660" spans="1:5" ht="24">
      <c r="A660" s="157"/>
      <c r="B660" s="158"/>
      <c r="C660" s="158"/>
      <c r="D660" s="158"/>
      <c r="E660" s="105"/>
    </row>
    <row r="661" spans="1:5" ht="24">
      <c r="A661" s="157"/>
      <c r="B661" s="158"/>
      <c r="C661" s="158"/>
      <c r="D661" s="158"/>
      <c r="E661" s="105"/>
    </row>
    <row r="662" spans="1:5" ht="24">
      <c r="A662" s="157"/>
      <c r="B662" s="158"/>
      <c r="C662" s="158"/>
      <c r="D662" s="158"/>
      <c r="E662" s="105"/>
    </row>
    <row r="663" spans="1:5" ht="24">
      <c r="A663" s="157"/>
      <c r="B663" s="158"/>
      <c r="C663" s="158"/>
      <c r="D663" s="158"/>
      <c r="E663" s="105"/>
    </row>
    <row r="664" spans="1:5" ht="24">
      <c r="A664" s="157"/>
      <c r="B664" s="158"/>
      <c r="C664" s="158"/>
      <c r="D664" s="158"/>
      <c r="E664" s="105"/>
    </row>
    <row r="665" spans="1:5" ht="24">
      <c r="A665" s="157"/>
      <c r="B665" s="158"/>
      <c r="C665" s="158"/>
      <c r="D665" s="158"/>
      <c r="E665" s="105"/>
    </row>
    <row r="666" spans="1:5" ht="24">
      <c r="A666" s="157"/>
      <c r="B666" s="158"/>
      <c r="C666" s="158"/>
      <c r="D666" s="158"/>
      <c r="E666" s="105"/>
    </row>
    <row r="667" spans="1:5" ht="24">
      <c r="A667" s="157"/>
      <c r="B667" s="158"/>
      <c r="C667" s="158"/>
      <c r="D667" s="158"/>
      <c r="E667" s="105"/>
    </row>
    <row r="668" spans="1:5" ht="24">
      <c r="A668" s="157"/>
      <c r="B668" s="158"/>
      <c r="C668" s="158"/>
      <c r="D668" s="158"/>
      <c r="E668" s="105"/>
    </row>
    <row r="669" spans="1:5" ht="24">
      <c r="A669" s="157"/>
      <c r="B669" s="158"/>
      <c r="C669" s="158"/>
      <c r="D669" s="158"/>
      <c r="E669" s="105"/>
    </row>
    <row r="670" spans="1:5" ht="24">
      <c r="A670" s="200" t="s">
        <v>73</v>
      </c>
      <c r="B670" s="200"/>
      <c r="C670" s="200"/>
      <c r="D670" s="200"/>
      <c r="E670" s="200"/>
    </row>
    <row r="671" spans="1:5" ht="24">
      <c r="A671" s="200" t="s">
        <v>217</v>
      </c>
      <c r="B671" s="200"/>
      <c r="C671" s="200"/>
      <c r="D671" s="200"/>
      <c r="E671" s="200"/>
    </row>
    <row r="672" spans="1:5" ht="24" customHeight="1">
      <c r="A672" s="201" t="s">
        <v>274</v>
      </c>
      <c r="B672" s="201"/>
      <c r="C672" s="201"/>
      <c r="D672" s="201"/>
      <c r="E672" s="86" t="s">
        <v>222</v>
      </c>
    </row>
    <row r="673" spans="1:5" ht="24">
      <c r="A673" s="82"/>
      <c r="B673" s="82"/>
      <c r="C673" s="82"/>
      <c r="D673" s="82"/>
      <c r="E673" s="82"/>
    </row>
    <row r="674" spans="1:5" ht="24">
      <c r="A674" s="89" t="s">
        <v>0</v>
      </c>
      <c r="B674" s="89" t="s">
        <v>7</v>
      </c>
      <c r="C674" s="89" t="s">
        <v>8</v>
      </c>
      <c r="D674" s="89" t="s">
        <v>187</v>
      </c>
      <c r="E674" s="89" t="s">
        <v>12</v>
      </c>
    </row>
    <row r="675" spans="1:5" ht="24">
      <c r="A675" s="117" t="s">
        <v>4</v>
      </c>
      <c r="B675" s="120"/>
      <c r="C675" s="120"/>
      <c r="D675" s="120"/>
      <c r="E675" s="120"/>
    </row>
    <row r="676" spans="1:5" ht="24">
      <c r="A676" s="92" t="s">
        <v>287</v>
      </c>
      <c r="B676" s="126">
        <v>60000</v>
      </c>
      <c r="C676" s="126">
        <f>B676-6247.04-6846.11</f>
        <v>46906.85</v>
      </c>
      <c r="D676" s="126">
        <v>148.17</v>
      </c>
      <c r="E676" s="126">
        <f>C676-D676</f>
        <v>46758.68</v>
      </c>
    </row>
    <row r="677" spans="1:5" ht="24.75" thickBot="1">
      <c r="A677" s="128" t="s">
        <v>194</v>
      </c>
      <c r="B677" s="141">
        <f>SUM(B676)</f>
        <v>60000</v>
      </c>
      <c r="C677" s="141">
        <f>SUM(C676)</f>
        <v>46906.85</v>
      </c>
      <c r="D677" s="141">
        <f>SUM(D676)</f>
        <v>148.17</v>
      </c>
      <c r="E677" s="141">
        <f>SUM(E676)</f>
        <v>46758.68</v>
      </c>
    </row>
    <row r="678" spans="1:5" ht="24.75" thickTop="1">
      <c r="A678" s="104"/>
      <c r="B678" s="105"/>
      <c r="C678" s="105"/>
      <c r="D678" s="105"/>
      <c r="E678" s="105"/>
    </row>
    <row r="679" spans="1:5" ht="24">
      <c r="A679" s="104"/>
      <c r="B679" s="105"/>
      <c r="C679" s="105"/>
      <c r="D679" s="105"/>
      <c r="E679" s="105"/>
    </row>
    <row r="680" spans="1:5" ht="24">
      <c r="A680" s="104"/>
      <c r="B680" s="105"/>
      <c r="C680" s="105"/>
      <c r="D680" s="105"/>
      <c r="E680" s="105"/>
    </row>
    <row r="681" spans="1:5" ht="24">
      <c r="A681" s="104"/>
      <c r="B681" s="105"/>
      <c r="C681" s="105"/>
      <c r="D681" s="105"/>
      <c r="E681" s="105"/>
    </row>
    <row r="682" spans="1:5" ht="24">
      <c r="A682" s="104"/>
      <c r="B682" s="105"/>
      <c r="C682" s="105"/>
      <c r="D682" s="105"/>
      <c r="E682" s="105"/>
    </row>
    <row r="683" spans="1:5" ht="24">
      <c r="A683" s="104"/>
      <c r="B683" s="105"/>
      <c r="C683" s="105"/>
      <c r="D683" s="105"/>
      <c r="E683" s="105"/>
    </row>
    <row r="684" spans="1:5" ht="24">
      <c r="A684" s="104"/>
      <c r="B684" s="105"/>
      <c r="C684" s="105"/>
      <c r="D684" s="105"/>
      <c r="E684" s="105"/>
    </row>
    <row r="685" spans="1:5" ht="24">
      <c r="A685" s="104"/>
      <c r="B685" s="105"/>
      <c r="C685" s="105"/>
      <c r="D685" s="105"/>
      <c r="E685" s="105"/>
    </row>
    <row r="686" spans="1:5" ht="24">
      <c r="A686" s="104"/>
      <c r="B686" s="105"/>
      <c r="C686" s="105"/>
      <c r="D686" s="105"/>
      <c r="E686" s="105"/>
    </row>
    <row r="687" spans="1:5" ht="24">
      <c r="A687" s="104"/>
      <c r="B687" s="105"/>
      <c r="C687" s="105"/>
      <c r="D687" s="105"/>
      <c r="E687" s="105"/>
    </row>
    <row r="688" spans="1:5" ht="24">
      <c r="A688" s="104"/>
      <c r="B688" s="105"/>
      <c r="C688" s="105"/>
      <c r="D688" s="105"/>
      <c r="E688" s="105"/>
    </row>
    <row r="689" spans="1:5" ht="24">
      <c r="A689" s="104"/>
      <c r="B689" s="105"/>
      <c r="C689" s="105"/>
      <c r="D689" s="105"/>
      <c r="E689" s="105"/>
    </row>
    <row r="690" spans="1:5" ht="24">
      <c r="A690" s="104"/>
      <c r="B690" s="105"/>
      <c r="C690" s="105"/>
      <c r="D690" s="105"/>
      <c r="E690" s="105"/>
    </row>
    <row r="691" spans="1:5" ht="24">
      <c r="A691" s="104"/>
      <c r="B691" s="105"/>
      <c r="C691" s="105"/>
      <c r="D691" s="105"/>
      <c r="E691" s="105"/>
    </row>
    <row r="692" spans="1:5" ht="24">
      <c r="A692" s="104"/>
      <c r="B692" s="105"/>
      <c r="C692" s="105"/>
      <c r="D692" s="105"/>
      <c r="E692" s="105"/>
    </row>
    <row r="693" spans="1:5" ht="24">
      <c r="A693" s="104"/>
      <c r="B693" s="105"/>
      <c r="C693" s="105"/>
      <c r="D693" s="105"/>
      <c r="E693" s="105"/>
    </row>
    <row r="694" spans="1:5" ht="24">
      <c r="A694" s="104"/>
      <c r="B694" s="105"/>
      <c r="C694" s="105"/>
      <c r="D694" s="105"/>
      <c r="E694" s="105"/>
    </row>
    <row r="695" spans="1:5" ht="24">
      <c r="A695" s="104"/>
      <c r="B695" s="105"/>
      <c r="C695" s="105"/>
      <c r="D695" s="105"/>
      <c r="E695" s="105"/>
    </row>
    <row r="696" spans="1:5" ht="24">
      <c r="A696" s="104"/>
      <c r="B696" s="105"/>
      <c r="C696" s="105"/>
      <c r="D696" s="105"/>
      <c r="E696" s="105"/>
    </row>
    <row r="697" spans="1:5" ht="24">
      <c r="A697" s="104"/>
      <c r="B697" s="105"/>
      <c r="C697" s="105"/>
      <c r="D697" s="105"/>
      <c r="E697" s="105"/>
    </row>
    <row r="698" spans="1:5" ht="24">
      <c r="A698" s="104"/>
      <c r="B698" s="105"/>
      <c r="C698" s="105"/>
      <c r="D698" s="105"/>
      <c r="E698" s="105"/>
    </row>
    <row r="699" spans="1:5" ht="24">
      <c r="A699" s="104"/>
      <c r="B699" s="105"/>
      <c r="C699" s="105"/>
      <c r="D699" s="105"/>
      <c r="E699" s="105"/>
    </row>
    <row r="700" spans="1:5" ht="24">
      <c r="A700" s="104"/>
      <c r="B700" s="105"/>
      <c r="C700" s="105"/>
      <c r="D700" s="105"/>
      <c r="E700" s="105"/>
    </row>
    <row r="701" spans="1:5" ht="24">
      <c r="A701" s="104"/>
      <c r="B701" s="105"/>
      <c r="C701" s="105"/>
      <c r="D701" s="105"/>
      <c r="E701" s="105"/>
    </row>
    <row r="702" spans="1:5" ht="24">
      <c r="A702" s="104"/>
      <c r="B702" s="105"/>
      <c r="C702" s="105"/>
      <c r="D702" s="105"/>
      <c r="E702" s="105"/>
    </row>
    <row r="703" spans="1:5" ht="24">
      <c r="A703" s="104"/>
      <c r="B703" s="105"/>
      <c r="C703" s="105"/>
      <c r="D703" s="105"/>
      <c r="E703" s="105"/>
    </row>
    <row r="704" spans="1:5" ht="24">
      <c r="A704" s="104"/>
      <c r="B704" s="105"/>
      <c r="C704" s="105"/>
      <c r="D704" s="105"/>
      <c r="E704" s="105"/>
    </row>
    <row r="705" spans="1:5" ht="24">
      <c r="A705" s="200" t="s">
        <v>73</v>
      </c>
      <c r="B705" s="200"/>
      <c r="C705" s="200"/>
      <c r="D705" s="200"/>
      <c r="E705" s="200"/>
    </row>
    <row r="706" spans="1:5" ht="24">
      <c r="A706" s="200" t="s">
        <v>216</v>
      </c>
      <c r="B706" s="200"/>
      <c r="C706" s="200"/>
      <c r="D706" s="200"/>
      <c r="E706" s="200"/>
    </row>
    <row r="707" spans="1:5" ht="24" customHeight="1">
      <c r="A707" s="201" t="s">
        <v>274</v>
      </c>
      <c r="B707" s="201"/>
      <c r="C707" s="201"/>
      <c r="D707" s="201"/>
      <c r="E707" s="86" t="s">
        <v>222</v>
      </c>
    </row>
    <row r="708" spans="1:5" ht="24">
      <c r="A708" s="82"/>
      <c r="B708" s="82"/>
      <c r="C708" s="82"/>
      <c r="D708" s="82"/>
      <c r="E708" s="82"/>
    </row>
    <row r="709" spans="1:5" ht="24">
      <c r="A709" s="89" t="s">
        <v>0</v>
      </c>
      <c r="B709" s="89" t="s">
        <v>7</v>
      </c>
      <c r="C709" s="89" t="s">
        <v>8</v>
      </c>
      <c r="D709" s="89" t="s">
        <v>187</v>
      </c>
      <c r="E709" s="89" t="s">
        <v>12</v>
      </c>
    </row>
    <row r="710" spans="1:5" ht="24">
      <c r="A710" s="92" t="s">
        <v>177</v>
      </c>
      <c r="B710" s="93">
        <v>90000</v>
      </c>
      <c r="C710" s="93">
        <f>B710-13123-19860</f>
        <v>57017</v>
      </c>
      <c r="D710" s="93">
        <v>21608</v>
      </c>
      <c r="E710" s="93">
        <f>C710-D710</f>
        <v>35409</v>
      </c>
    </row>
    <row r="711" spans="1:5" ht="24">
      <c r="A711" s="92" t="s">
        <v>178</v>
      </c>
      <c r="B711" s="93">
        <v>4549200</v>
      </c>
      <c r="C711" s="93">
        <f>B711-1132100-1049600</f>
        <v>2367500</v>
      </c>
      <c r="D711" s="93">
        <v>1099300</v>
      </c>
      <c r="E711" s="93">
        <f>C711-D711</f>
        <v>1268200</v>
      </c>
    </row>
    <row r="712" spans="1:5" ht="24">
      <c r="A712" s="92" t="s">
        <v>179</v>
      </c>
      <c r="B712" s="93">
        <v>1382400</v>
      </c>
      <c r="C712" s="93">
        <f>B712-272800-236800</f>
        <v>872800</v>
      </c>
      <c r="D712" s="93">
        <v>266400</v>
      </c>
      <c r="E712" s="93">
        <f>C712-D712</f>
        <v>606400</v>
      </c>
    </row>
    <row r="713" spans="1:5" ht="24">
      <c r="A713" s="92" t="s">
        <v>180</v>
      </c>
      <c r="B713" s="93">
        <v>78000</v>
      </c>
      <c r="C713" s="93">
        <f>B713-19500-19500</f>
        <v>39000</v>
      </c>
      <c r="D713" s="93">
        <v>21000</v>
      </c>
      <c r="E713" s="93">
        <f>C713-D713</f>
        <v>18000</v>
      </c>
    </row>
    <row r="714" spans="1:5" ht="24">
      <c r="A714" s="92" t="s">
        <v>181</v>
      </c>
      <c r="B714" s="93">
        <v>4144564</v>
      </c>
      <c r="C714" s="93">
        <v>4144564</v>
      </c>
      <c r="D714" s="93">
        <v>0</v>
      </c>
      <c r="E714" s="93">
        <f>B714-D714</f>
        <v>4144564</v>
      </c>
    </row>
    <row r="715" spans="1:5" ht="23.25" customHeight="1">
      <c r="A715" s="92" t="s">
        <v>182</v>
      </c>
      <c r="B715" s="93">
        <v>20000</v>
      </c>
      <c r="C715" s="93">
        <v>20000</v>
      </c>
      <c r="D715" s="93">
        <v>0</v>
      </c>
      <c r="E715" s="93">
        <f>B715-D715</f>
        <v>20000</v>
      </c>
    </row>
    <row r="716" spans="1:5" ht="23.25" customHeight="1">
      <c r="A716" s="92" t="s">
        <v>183</v>
      </c>
      <c r="B716" s="93">
        <v>50000</v>
      </c>
      <c r="C716" s="93">
        <v>50000</v>
      </c>
      <c r="D716" s="93">
        <v>0</v>
      </c>
      <c r="E716" s="93">
        <f>B716-D716</f>
        <v>50000</v>
      </c>
    </row>
    <row r="717" spans="1:5" ht="24">
      <c r="A717" s="92" t="s">
        <v>184</v>
      </c>
      <c r="B717" s="93">
        <v>90000</v>
      </c>
      <c r="C717" s="93">
        <v>0</v>
      </c>
      <c r="D717" s="93">
        <v>0</v>
      </c>
      <c r="E717" s="93">
        <v>0</v>
      </c>
    </row>
    <row r="718" spans="1:5" ht="24">
      <c r="A718" s="92" t="s">
        <v>185</v>
      </c>
      <c r="B718" s="93">
        <v>105270</v>
      </c>
      <c r="C718" s="93">
        <v>105270</v>
      </c>
      <c r="D718" s="93">
        <v>0</v>
      </c>
      <c r="E718" s="93">
        <f>B718-D718</f>
        <v>105270</v>
      </c>
    </row>
    <row r="719" spans="1:5" ht="23.25" customHeight="1">
      <c r="A719" s="92" t="s">
        <v>186</v>
      </c>
      <c r="B719" s="126">
        <v>550000</v>
      </c>
      <c r="C719" s="126">
        <v>0</v>
      </c>
      <c r="D719" s="126">
        <v>0</v>
      </c>
      <c r="E719" s="126">
        <v>0</v>
      </c>
    </row>
    <row r="720" spans="1:5" ht="23.25" customHeight="1" thickBot="1">
      <c r="A720" s="160" t="s">
        <v>221</v>
      </c>
      <c r="B720" s="159">
        <f>SUM(B710:B719)</f>
        <v>11059434</v>
      </c>
      <c r="C720" s="159">
        <f>SUM(C710:C719)</f>
        <v>7656151</v>
      </c>
      <c r="D720" s="159">
        <f>SUM(D710:D719)</f>
        <v>1408308</v>
      </c>
      <c r="E720" s="159">
        <f>SUM(E710:E719)</f>
        <v>6247843</v>
      </c>
    </row>
    <row r="721" spans="1:5" ht="24" customHeight="1" thickBot="1" thickTop="1">
      <c r="A721" s="161" t="s">
        <v>275</v>
      </c>
      <c r="B721" s="162">
        <f>B11+B18+B24+B45+B53+B60+B86+B89+B119+B122+B129+B134+B137+B145+B157+B160+B163+B192+B199+B204+B207+B227+B265+B268+B274+B278+B283+B301+B307+B334+B370+B373+B379+B385+B390+B393+B416+B419+B433+B436+B439+B469+B503+B506+B545+B549+B573+B607+B642+B677+B720</f>
        <v>40000000</v>
      </c>
      <c r="C721" s="162">
        <f>B721-5543079.26-5935416.27</f>
        <v>28521504.470000003</v>
      </c>
      <c r="D721" s="162">
        <f>7163422.82</f>
        <v>7163422.82</v>
      </c>
      <c r="E721" s="162">
        <f>C721-D721</f>
        <v>21358081.650000002</v>
      </c>
    </row>
    <row r="722" spans="1:5" ht="24" customHeight="1" thickTop="1">
      <c r="A722" s="171"/>
      <c r="B722" s="172"/>
      <c r="C722" s="172"/>
      <c r="D722" s="172"/>
      <c r="E722" s="172"/>
    </row>
    <row r="723" spans="3:5" ht="27.75" customHeight="1">
      <c r="C723" s="173"/>
      <c r="D723" s="173"/>
      <c r="E723" s="173"/>
    </row>
    <row r="755" spans="1:5" ht="30.75">
      <c r="A755" s="84"/>
      <c r="B755" s="85"/>
      <c r="C755" s="85"/>
      <c r="D755" s="85"/>
      <c r="E755" s="85"/>
    </row>
  </sheetData>
  <sheetProtection/>
  <mergeCells count="64">
    <mergeCell ref="A672:D672"/>
    <mergeCell ref="A705:E705"/>
    <mergeCell ref="A706:E706"/>
    <mergeCell ref="A707:D707"/>
    <mergeCell ref="A602:D602"/>
    <mergeCell ref="A635:E635"/>
    <mergeCell ref="A636:E636"/>
    <mergeCell ref="A637:D637"/>
    <mergeCell ref="A670:E670"/>
    <mergeCell ref="A671:E671"/>
    <mergeCell ref="A533:D533"/>
    <mergeCell ref="A566:E566"/>
    <mergeCell ref="A567:E567"/>
    <mergeCell ref="A568:D568"/>
    <mergeCell ref="A600:E600"/>
    <mergeCell ref="A601:E601"/>
    <mergeCell ref="A462:D462"/>
    <mergeCell ref="A495:E495"/>
    <mergeCell ref="A496:E496"/>
    <mergeCell ref="A497:D497"/>
    <mergeCell ref="A531:E531"/>
    <mergeCell ref="A532:E532"/>
    <mergeCell ref="A397:D397"/>
    <mergeCell ref="A426:E426"/>
    <mergeCell ref="A427:E427"/>
    <mergeCell ref="A428:D428"/>
    <mergeCell ref="A460:E460"/>
    <mergeCell ref="A461:E461"/>
    <mergeCell ref="A329:D329"/>
    <mergeCell ref="A360:E360"/>
    <mergeCell ref="A361:E361"/>
    <mergeCell ref="A362:D362"/>
    <mergeCell ref="A395:E395"/>
    <mergeCell ref="A396:E396"/>
    <mergeCell ref="A259:E259"/>
    <mergeCell ref="A292:E292"/>
    <mergeCell ref="A293:E293"/>
    <mergeCell ref="A294:D294"/>
    <mergeCell ref="A327:E327"/>
    <mergeCell ref="A328:E328"/>
    <mergeCell ref="A220:E220"/>
    <mergeCell ref="A221:E221"/>
    <mergeCell ref="A222:D222"/>
    <mergeCell ref="A256:E256"/>
    <mergeCell ref="A257:E257"/>
    <mergeCell ref="A258:D258"/>
    <mergeCell ref="A147:E147"/>
    <mergeCell ref="A148:E148"/>
    <mergeCell ref="A149:D149"/>
    <mergeCell ref="A183:E183"/>
    <mergeCell ref="A184:E184"/>
    <mergeCell ref="A185:D185"/>
    <mergeCell ref="A74:E74"/>
    <mergeCell ref="A75:E75"/>
    <mergeCell ref="A76:D76"/>
    <mergeCell ref="A110:E110"/>
    <mergeCell ref="A111:E111"/>
    <mergeCell ref="A112:D112"/>
    <mergeCell ref="A1:E1"/>
    <mergeCell ref="A2:E2"/>
    <mergeCell ref="A3:D3"/>
    <mergeCell ref="A37:E37"/>
    <mergeCell ref="A38:E38"/>
    <mergeCell ref="A39:D39"/>
  </mergeCells>
  <printOptions/>
  <pageMargins left="0.31496062992125984" right="0.11811023622047245" top="0.7480314960629921" bottom="0.5511811023622047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ttt</dc:creator>
  <cp:keywords/>
  <dc:description/>
  <cp:lastModifiedBy>JPC COMPUTER</cp:lastModifiedBy>
  <cp:lastPrinted>2018-07-13T04:24:40Z</cp:lastPrinted>
  <dcterms:created xsi:type="dcterms:W3CDTF">2007-03-16T05:59:17Z</dcterms:created>
  <dcterms:modified xsi:type="dcterms:W3CDTF">2018-07-18T02:03:01Z</dcterms:modified>
  <cp:category/>
  <cp:version/>
  <cp:contentType/>
  <cp:contentStatus/>
</cp:coreProperties>
</file>